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Default Extension="vml" ContentType="application/vnd.openxmlformats-officedocument.vmlDrawing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" activeTab="12"/>
  </bookViews>
  <sheets>
    <sheet name="Лист37" sheetId="1" state="hidden" r:id="rId1"/>
    <sheet name="ПРО присед софт экип." sheetId="2" state="hidden" r:id="rId2"/>
    <sheet name="Люб. присед софт экип." sheetId="3" r:id="rId3"/>
    <sheet name="ПРО присед б.э." sheetId="4" r:id="rId4"/>
    <sheet name="Люб. присед б.э." sheetId="5" r:id="rId5"/>
    <sheet name="ПРО присед 1.слой" sheetId="6" state="hidden" r:id="rId6"/>
    <sheet name="Люб. присед 1.слой" sheetId="7" state="hidden" r:id="rId7"/>
    <sheet name="ПРО присед мн.слой" sheetId="8" state="hidden" r:id="rId8"/>
    <sheet name="Люб. присед мн.слой" sheetId="9" state="hidden" r:id="rId9"/>
    <sheet name="ПРО тяга софт экип." sheetId="10" state="hidden" r:id="rId10"/>
    <sheet name="Люб. тяга софт экип." sheetId="11" state="hidden" r:id="rId11"/>
    <sheet name="ПРО тяга б.э." sheetId="12" r:id="rId12"/>
    <sheet name="Люб. тяга б.э." sheetId="13" r:id="rId13"/>
    <sheet name="ПРО тяга 1.слой" sheetId="14" state="hidden" r:id="rId14"/>
    <sheet name="Люб. тяга 1.слой" sheetId="15" state="hidden" r:id="rId15"/>
    <sheet name="ПРО тяга мн.слой" sheetId="16" state="hidden" r:id="rId16"/>
    <sheet name="Люб. тяга мн.слой" sheetId="17" state="hidden" r:id="rId17"/>
    <sheet name="ПРО жим софт мн.петельная" sheetId="18" r:id="rId18"/>
    <sheet name="Люб. жим жим софт мн.петельная" sheetId="19" r:id="rId19"/>
    <sheet name="ПРО жим софт 1 петельная" sheetId="20" state="hidden" r:id="rId20"/>
    <sheet name="Люб. жим 1 петельная" sheetId="21" r:id="rId21"/>
    <sheet name="ПРО жим б.э." sheetId="22" r:id="rId22"/>
    <sheet name="Люб. жим б.э." sheetId="23" r:id="rId23"/>
    <sheet name="ПРО жим 1.слой" sheetId="24" r:id="rId24"/>
    <sheet name="Люб. жим 1.слой" sheetId="25" r:id="rId25"/>
    <sheet name="ПРО жим мн.слой" sheetId="26" state="hidden" r:id="rId26"/>
    <sheet name="Люб. жим мн.слой" sheetId="27" r:id="rId27"/>
    <sheet name="Люб. Военный жим" sheetId="28" r:id="rId28"/>
    <sheet name="ПРО ПЛ. мн.петельная софт" sheetId="29" state="hidden" r:id="rId29"/>
    <sheet name="Люб. ПЛ. мн.петельная софт" sheetId="30" r:id="rId30"/>
    <sheet name="ПРО ПЛ. б.э." sheetId="31" r:id="rId31"/>
    <sheet name="Люб. ПЛ. б.э." sheetId="32" r:id="rId32"/>
    <sheet name="Люб. ПЛ. Стандарт" sheetId="33" r:id="rId33"/>
    <sheet name="Станова тяга безэкип" sheetId="34" r:id="rId34"/>
    <sheet name="Жим любители безэкип" sheetId="35" r:id="rId35"/>
    <sheet name="Люб. становая тяга" sheetId="36" r:id="rId36"/>
    <sheet name="Проф. народный жим 1 вес" sheetId="37" r:id="rId37"/>
    <sheet name="Пауэрспорт Любители" sheetId="38" r:id="rId38"/>
    <sheet name="Бицепс Профессионалы" sheetId="39" r:id="rId39"/>
    <sheet name="Бицепс Любители" sheetId="40" r:id="rId40"/>
    <sheet name="Русская тяга проф. 200 кг." sheetId="41" r:id="rId41"/>
    <sheet name="Русская тяга проф. 150 кг." sheetId="42" r:id="rId42"/>
    <sheet name="Русская тяга люб. 100 кг." sheetId="43" r:id="rId43"/>
    <sheet name="Русская тяга люб. 75 кг." sheetId="44" r:id="rId44"/>
    <sheet name="Русская тяга люб. 55 кг." sheetId="45" r:id="rId45"/>
    <sheet name="РЖ Проф 55 кг." sheetId="46" r:id="rId46"/>
    <sheet name="РЖ Проф 35 кг." sheetId="47" r:id="rId47"/>
    <sheet name="Люб. ПЛ. 1.петельная софт" sheetId="48" state="hidden" r:id="rId48"/>
    <sheet name="ПРО ПЛ. 1.петельная софт" sheetId="49" state="hidden" r:id="rId49"/>
    <sheet name="ПРО ПЛ. 1.слой" sheetId="50" state="hidden" r:id="rId50"/>
    <sheet name="Люб. ПЛ. 1.слой" sheetId="51" state="hidden" r:id="rId51"/>
    <sheet name="ПРО ПЛ. мн.слой" sheetId="52" state="hidden" r:id="rId52"/>
    <sheet name="Люб. ПЛ. мн.слой" sheetId="53" state="hidden" r:id="rId53"/>
  </sheets>
  <definedNames/>
  <calcPr fullCalcOnLoad="1" refMode="R1C1"/>
</workbook>
</file>

<file path=xl/sharedStrings.xml><?xml version="1.0" encoding="utf-8"?>
<sst xmlns="http://schemas.openxmlformats.org/spreadsheetml/2006/main" count="3932" uniqueCount="864">
  <si>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</si>
  <si>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</si>
  <si>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</si>
  <si>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</si>
  <si>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</si>
  <si>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</si>
  <si>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</si>
  <si>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</si>
  <si>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</si>
  <si>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</si>
  <si>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</si>
  <si>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</si>
  <si>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</si>
  <si>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КУБОК СИЛЫ - VII
Любители пауэрлифтинг в многослойной экипировке
Краснодар/Краснодарский край 21 - 22 декабря 2019 г.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</si>
  <si>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</si>
  <si>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</si>
  <si>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</si>
  <si>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</si>
  <si>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</si>
  <si>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</si>
  <si>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КУБОК СИЛЫ - VII
ПРО пауэрлифтинг в многослойной экипировке
Краснодар/Краснодарский край 21 - 22 декабря 2019 г.</t>
  </si>
  <si>
    <t>КУБОК СИЛЫ - VII
Любители пауэрлифтинг в однослойной экипировке
Краснодар/Краснодарский край 21 - 22 декабря 2019 г.</t>
  </si>
  <si>
    <t>КУБОК СИЛЫ - VII
ПРО пауэрлифтинг в однослойной экипировке
Краснодар/Краснодарский край 21 - 22 декабря 2019 г.</t>
  </si>
  <si>
    <t>КУБОК СИЛЫ - VII
ПРО пауэрлифтинг в однопетельной софт экипировке
Краснодар/Краснодарский край 21 - 22 декабря 2019 г.</t>
  </si>
  <si>
    <t>КУБОК СИЛЫ - VII
Любители пауэрлифтинг в однопетельной софт экипировке
Краснодар/Краснодарский край 21 - 22 декабря 2019 г.</t>
  </si>
  <si>
    <t>КУБОК СИЛЫ - VII
Любители пауэрлифтинг без экипировки
Краснодар/Краснодарский край 21 - 22 декабря 2019 г.</t>
  </si>
  <si>
    <t>Shv/Mel</t>
  </si>
  <si>
    <t>Приседание</t>
  </si>
  <si>
    <t>Жим лёжа</t>
  </si>
  <si>
    <t>Становая тяга</t>
  </si>
  <si>
    <t>ВЕСОВАЯ КАТЕГОРИЯ   75</t>
  </si>
  <si>
    <t>Мугдусова Элла</t>
  </si>
  <si>
    <t>1. Мугдусова Элла</t>
  </si>
  <si>
    <t>Открытая (08.02.1991)/28</t>
  </si>
  <si>
    <t>70,00</t>
  </si>
  <si>
    <t xml:space="preserve">Геленджим </t>
  </si>
  <si>
    <t xml:space="preserve">Геленджик/Краснодарский край </t>
  </si>
  <si>
    <t>80,0</t>
  </si>
  <si>
    <t>85,0</t>
  </si>
  <si>
    <t>90,0</t>
  </si>
  <si>
    <t>55,0</t>
  </si>
  <si>
    <t>57,5</t>
  </si>
  <si>
    <t>60,0</t>
  </si>
  <si>
    <t>100,0</t>
  </si>
  <si>
    <t>105,0</t>
  </si>
  <si>
    <t>110,0</t>
  </si>
  <si>
    <t xml:space="preserve">Лянгузов Д.Н. </t>
  </si>
  <si>
    <t>ВЕСОВАЯ КАТЕГОРИЯ   90</t>
  </si>
  <si>
    <t>Филобок Лана</t>
  </si>
  <si>
    <t>1. Филобок Лана</t>
  </si>
  <si>
    <t>Открытая (03.01.1989)/30</t>
  </si>
  <si>
    <t>85,40</t>
  </si>
  <si>
    <t xml:space="preserve">Light fit </t>
  </si>
  <si>
    <t xml:space="preserve">Краснодар/Краснодарский край </t>
  </si>
  <si>
    <t>120,0</t>
  </si>
  <si>
    <t>125,0</t>
  </si>
  <si>
    <t>50,0</t>
  </si>
  <si>
    <t>130,0</t>
  </si>
  <si>
    <t xml:space="preserve">Котлярова Т.С. </t>
  </si>
  <si>
    <t>ВЕСОВАЯ КАТЕГОРИЯ   56</t>
  </si>
  <si>
    <t>Гривастов Глеб</t>
  </si>
  <si>
    <t>1. Гривастов Глеб</t>
  </si>
  <si>
    <t>Юноши 14-15 (25.10.2004)/15</t>
  </si>
  <si>
    <t>54,90</t>
  </si>
  <si>
    <t xml:space="preserve">Центр Тяжести </t>
  </si>
  <si>
    <t xml:space="preserve">Усть-Лабинск/Краснодарский край </t>
  </si>
  <si>
    <t>75,0</t>
  </si>
  <si>
    <t>40,0</t>
  </si>
  <si>
    <t>65,0</t>
  </si>
  <si>
    <t xml:space="preserve">Новосельцев О.С. </t>
  </si>
  <si>
    <t>ВЕСОВАЯ КАТЕГОРИЯ   67.5</t>
  </si>
  <si>
    <t>Шацкий Илья</t>
  </si>
  <si>
    <t>1. Шацкий Илья</t>
  </si>
  <si>
    <t>Юноши 16 - 17 (14.05.2003)/16</t>
  </si>
  <si>
    <t>65,80</t>
  </si>
  <si>
    <t>70,0</t>
  </si>
  <si>
    <t>135,0</t>
  </si>
  <si>
    <t>Кожаев Эльдар</t>
  </si>
  <si>
    <t>1. Кожаев Эльдар</t>
  </si>
  <si>
    <t>Юниоры 20 - 23 (01.05.1998)/21</t>
  </si>
  <si>
    <t>65,30</t>
  </si>
  <si>
    <t xml:space="preserve">Легион </t>
  </si>
  <si>
    <t xml:space="preserve">Нальчик/Кабардино-Балкария </t>
  </si>
  <si>
    <t>92,5</t>
  </si>
  <si>
    <t>132,5</t>
  </si>
  <si>
    <t>137,5</t>
  </si>
  <si>
    <t xml:space="preserve">Губжев Б.Р. </t>
  </si>
  <si>
    <t>Титов Егор</t>
  </si>
  <si>
    <t>1. Титов Егор</t>
  </si>
  <si>
    <t>Юноши 16 - 17 (12.02.2002)/17</t>
  </si>
  <si>
    <t>74,60</t>
  </si>
  <si>
    <t xml:space="preserve">Ермак </t>
  </si>
  <si>
    <t>155,0</t>
  </si>
  <si>
    <t>165,0</t>
  </si>
  <si>
    <t>170,0</t>
  </si>
  <si>
    <t>115,0</t>
  </si>
  <si>
    <t>180,0</t>
  </si>
  <si>
    <t>195,0</t>
  </si>
  <si>
    <t>200,0</t>
  </si>
  <si>
    <t xml:space="preserve">Усачев Н.И. </t>
  </si>
  <si>
    <t>-. Карданов Инал</t>
  </si>
  <si>
    <t>Юноши 16 - 17 (01.11.2003)/16</t>
  </si>
  <si>
    <t>74,80</t>
  </si>
  <si>
    <t>42,5</t>
  </si>
  <si>
    <t>Папенко Денис</t>
  </si>
  <si>
    <t>1. Папенко Денис</t>
  </si>
  <si>
    <t>Юниоры 20 - 23 (07.04.1997)/22</t>
  </si>
  <si>
    <t>72,80</t>
  </si>
  <si>
    <t xml:space="preserve">АГУ Майкоп </t>
  </si>
  <si>
    <t xml:space="preserve">Майкоп/Адыгея республика </t>
  </si>
  <si>
    <t>160,0</t>
  </si>
  <si>
    <t>175,0</t>
  </si>
  <si>
    <t>122,5</t>
  </si>
  <si>
    <t>210,0</t>
  </si>
  <si>
    <t>220,0</t>
  </si>
  <si>
    <t>230,0</t>
  </si>
  <si>
    <t xml:space="preserve">Манько И. </t>
  </si>
  <si>
    <t>Попов Константин</t>
  </si>
  <si>
    <t>1. Попов Константин</t>
  </si>
  <si>
    <t>Открытая (11.01.1991)/28</t>
  </si>
  <si>
    <t>162,5</t>
  </si>
  <si>
    <t>117,5</t>
  </si>
  <si>
    <t>192,5</t>
  </si>
  <si>
    <t>202,5</t>
  </si>
  <si>
    <t>Король Ярослав</t>
  </si>
  <si>
    <t>2. Король Ярослав</t>
  </si>
  <si>
    <t>Открытая (15.05.1990)/29</t>
  </si>
  <si>
    <t>72,50</t>
  </si>
  <si>
    <t>140,0</t>
  </si>
  <si>
    <t>95,0</t>
  </si>
  <si>
    <t>187,5</t>
  </si>
  <si>
    <t>Сметанка Андрей</t>
  </si>
  <si>
    <t>3. Сметанка Андрей</t>
  </si>
  <si>
    <t>Открытая (18.11.1986)/33</t>
  </si>
  <si>
    <t>73,80</t>
  </si>
  <si>
    <t>147,5</t>
  </si>
  <si>
    <t>150,0</t>
  </si>
  <si>
    <t>ВЕСОВАЯ КАТЕГОРИЯ   82.5</t>
  </si>
  <si>
    <t>Питинов Дмитрий</t>
  </si>
  <si>
    <t>1. Питинов Дмитрий</t>
  </si>
  <si>
    <t>Юноши 16 - 17 (04.02.2002)/17</t>
  </si>
  <si>
    <t>82,00</t>
  </si>
  <si>
    <t>190,0</t>
  </si>
  <si>
    <t>Минясаров Руслан</t>
  </si>
  <si>
    <t>1. Минясаров Руслан</t>
  </si>
  <si>
    <t>Открытая (17.01.1990)/29</t>
  </si>
  <si>
    <t>81,50</t>
  </si>
  <si>
    <t>142,5</t>
  </si>
  <si>
    <t>Цыганков Алексей</t>
  </si>
  <si>
    <t>1. Цыганков Алексей</t>
  </si>
  <si>
    <t>Открытая (19.11.1987)/32</t>
  </si>
  <si>
    <t>84,00</t>
  </si>
  <si>
    <t>240,0</t>
  </si>
  <si>
    <t>Строганов Денис</t>
  </si>
  <si>
    <t>1. Строганов Денис</t>
  </si>
  <si>
    <t>Мастера 40 - 44 (19.09.1978)/41</t>
  </si>
  <si>
    <t>87,80</t>
  </si>
  <si>
    <t xml:space="preserve">Абинск/Краснодарский край </t>
  </si>
  <si>
    <t>185,0</t>
  </si>
  <si>
    <t xml:space="preserve"> </t>
  </si>
  <si>
    <t>ВЕСОВАЯ КАТЕГОРИЯ   100</t>
  </si>
  <si>
    <t>Никишин Олег</t>
  </si>
  <si>
    <t>1. Никишин Олег</t>
  </si>
  <si>
    <t>Юноши 14-15 (07.05.2004)/15</t>
  </si>
  <si>
    <t>97,90</t>
  </si>
  <si>
    <t>Иванилов Павел</t>
  </si>
  <si>
    <t>1. Иванилов Павел</t>
  </si>
  <si>
    <t>Открытая (07.04.1988)/31</t>
  </si>
  <si>
    <t>98,60</t>
  </si>
  <si>
    <t xml:space="preserve">Epishko Team </t>
  </si>
  <si>
    <t xml:space="preserve">Сочи/Краснодарский край </t>
  </si>
  <si>
    <t>227,5</t>
  </si>
  <si>
    <t>235,0</t>
  </si>
  <si>
    <t>157,5</t>
  </si>
  <si>
    <t>245,0</t>
  </si>
  <si>
    <t>260,0</t>
  </si>
  <si>
    <t>270,0</t>
  </si>
  <si>
    <t xml:space="preserve">Епишко Д. </t>
  </si>
  <si>
    <t>Ярыгин Вячеслав</t>
  </si>
  <si>
    <t>2. Ярыгин Вячеслав</t>
  </si>
  <si>
    <t>Открытая (19.09.1991)/28</t>
  </si>
  <si>
    <t>99,10</t>
  </si>
  <si>
    <t>205,0</t>
  </si>
  <si>
    <t>Беляков Игорь</t>
  </si>
  <si>
    <t>3. Беляков Игорь</t>
  </si>
  <si>
    <t>Открытая (15.10.1991)/28</t>
  </si>
  <si>
    <t>99,90</t>
  </si>
  <si>
    <t xml:space="preserve">АО Тандер </t>
  </si>
  <si>
    <t>217,5</t>
  </si>
  <si>
    <t xml:space="preserve">Филипенко А. </t>
  </si>
  <si>
    <t>Печеркин Михаил</t>
  </si>
  <si>
    <t>4. Печеркин Михаил</t>
  </si>
  <si>
    <t>Открытая (22.04.1985)/34</t>
  </si>
  <si>
    <t>ВЕСОВАЯ КАТЕГОРИЯ   110</t>
  </si>
  <si>
    <t>Кириенко Рустам</t>
  </si>
  <si>
    <t>1. Кириенко Рустам</t>
  </si>
  <si>
    <t>Открытая (18.12.1982)/37</t>
  </si>
  <si>
    <t>108,70</t>
  </si>
  <si>
    <t xml:space="preserve">Doctor.lifting team </t>
  </si>
  <si>
    <t>167,5</t>
  </si>
  <si>
    <t>177,5</t>
  </si>
  <si>
    <t xml:space="preserve">Кузьмищев В. </t>
  </si>
  <si>
    <t>ВЕСОВАЯ КАТЕГОРИЯ   125</t>
  </si>
  <si>
    <t>Бесчасный Денис</t>
  </si>
  <si>
    <t>1. Бесчасный Денис</t>
  </si>
  <si>
    <t>Открытая (11.03.1988)/31</t>
  </si>
  <si>
    <t>120,00</t>
  </si>
  <si>
    <t>225,0</t>
  </si>
  <si>
    <t>ВЕСОВАЯ КАТЕГОРИЯ   140</t>
  </si>
  <si>
    <t>Новосельцев Олег</t>
  </si>
  <si>
    <t>1. Новосельцев Олег</t>
  </si>
  <si>
    <t>Открытая (10.05.1985)/34</t>
  </si>
  <si>
    <t>126,60</t>
  </si>
  <si>
    <t>275,0</t>
  </si>
  <si>
    <t>285,0</t>
  </si>
  <si>
    <t>295,0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</si>
  <si>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</si>
  <si>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</si>
  <si>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</si>
  <si>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</si>
  <si>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</si>
  <si>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</si>
  <si>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</si>
  <si>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90</t>
  </si>
  <si>
    <t>315,0</t>
  </si>
  <si>
    <t>206,7345</t>
  </si>
  <si>
    <t>75</t>
  </si>
  <si>
    <t>257,5</t>
  </si>
  <si>
    <t>195,3009</t>
  </si>
  <si>
    <t xml:space="preserve">Мужчины </t>
  </si>
  <si>
    <t xml:space="preserve">Юноши </t>
  </si>
  <si>
    <t xml:space="preserve">Юноши 16 - 17 </t>
  </si>
  <si>
    <t>470,0</t>
  </si>
  <si>
    <t>338,7215</t>
  </si>
  <si>
    <t>82.5</t>
  </si>
  <si>
    <t>440,0</t>
  </si>
  <si>
    <t>295,5269</t>
  </si>
  <si>
    <t>67.5</t>
  </si>
  <si>
    <t>264,4353</t>
  </si>
  <si>
    <t xml:space="preserve">Юноши 14-15 </t>
  </si>
  <si>
    <t>56</t>
  </si>
  <si>
    <t>216,3312</t>
  </si>
  <si>
    <t>100</t>
  </si>
  <si>
    <t>305,0</t>
  </si>
  <si>
    <t>201,3281</t>
  </si>
  <si>
    <t xml:space="preserve">Юниоры </t>
  </si>
  <si>
    <t xml:space="preserve">Юниоры 20 - 23 </t>
  </si>
  <si>
    <t>520,0</t>
  </si>
  <si>
    <t>357,3986</t>
  </si>
  <si>
    <t>322,5</t>
  </si>
  <si>
    <t>246,0875</t>
  </si>
  <si>
    <t>140</t>
  </si>
  <si>
    <t>700,0</t>
  </si>
  <si>
    <t>363,3560</t>
  </si>
  <si>
    <t>650,0</t>
  </si>
  <si>
    <t>362,3750</t>
  </si>
  <si>
    <t>497,5</t>
  </si>
  <si>
    <t>331,9817</t>
  </si>
  <si>
    <t>540,0</t>
  </si>
  <si>
    <t>330,3180</t>
  </si>
  <si>
    <t>125</t>
  </si>
  <si>
    <t>600,0</t>
  </si>
  <si>
    <t>316,2000</t>
  </si>
  <si>
    <t>417,5</t>
  </si>
  <si>
    <t>285,0690</t>
  </si>
  <si>
    <t>495,0</t>
  </si>
  <si>
    <t>275,3685</t>
  </si>
  <si>
    <t>397,5</t>
  </si>
  <si>
    <t>267,5175</t>
  </si>
  <si>
    <t>480,0</t>
  </si>
  <si>
    <t>266,0640</t>
  </si>
  <si>
    <t>425,0</t>
  </si>
  <si>
    <t>265,4550</t>
  </si>
  <si>
    <t>110</t>
  </si>
  <si>
    <t>467,5</t>
  </si>
  <si>
    <t>251,5618</t>
  </si>
  <si>
    <t>447,5</t>
  </si>
  <si>
    <t>250,3315</t>
  </si>
  <si>
    <t xml:space="preserve">Мастера </t>
  </si>
  <si>
    <t xml:space="preserve">Мастера 40 - 44 </t>
  </si>
  <si>
    <t>530,0</t>
  </si>
  <si>
    <t>315,9239</t>
  </si>
  <si>
    <t>КУБОК СИЛЫ - VII
ПРО пауэрлифтинг без экипировки
Краснодар/Краснодарский край 21 - 22 декабря 2019 г.</t>
  </si>
  <si>
    <t>Титов Максим</t>
  </si>
  <si>
    <t>1. Титов Максим</t>
  </si>
  <si>
    <t>Открытая (04.04.1987)/32</t>
  </si>
  <si>
    <t>89,90</t>
  </si>
  <si>
    <t xml:space="preserve">Медведь </t>
  </si>
  <si>
    <t>215,0</t>
  </si>
  <si>
    <t>222,5</t>
  </si>
  <si>
    <t>250,0</t>
  </si>
  <si>
    <t>255,0</t>
  </si>
  <si>
    <t>-. Строганов Денис</t>
  </si>
  <si>
    <t>630,0</t>
  </si>
  <si>
    <t>368,9910</t>
  </si>
  <si>
    <t>КУБОК СИЛЫ - VII
Любители пауэрлифтинг в многопетельной софт экипировке
Краснодар/Краснодарский край 21 - 22 декабря 2019 г.</t>
  </si>
  <si>
    <t>Олейников Владимир</t>
  </si>
  <si>
    <t>-. Олейников Владимир</t>
  </si>
  <si>
    <t>Открытая (23.07.1987)/32</t>
  </si>
  <si>
    <t>74,10</t>
  </si>
  <si>
    <t xml:space="preserve">Кореновский ГСДЦ </t>
  </si>
  <si>
    <t xml:space="preserve">Кореновск/Краснодарский край </t>
  </si>
  <si>
    <t>107,5</t>
  </si>
  <si>
    <t xml:space="preserve">Бойцевский А. </t>
  </si>
  <si>
    <t>Ремнёв Василий</t>
  </si>
  <si>
    <t>1. Ремнёв Василий</t>
  </si>
  <si>
    <t>Открытая (19.09.1978)/41</t>
  </si>
  <si>
    <t>123,60</t>
  </si>
  <si>
    <t xml:space="preserve">Микао М.А. </t>
  </si>
  <si>
    <t>665,0</t>
  </si>
  <si>
    <t>347,7950</t>
  </si>
  <si>
    <t>КУБОК СИЛЫ - VII
ПРО пауэрлифтинг в многопетельной софт экипировке
Краснодар/Краснодарский край 21 - 22 декабря 2019 г.</t>
  </si>
  <si>
    <t>КУБОК СИЛЫ - VII
Любители военный жим
Краснодар/Краснодарский край 21 - 22 декабря 2019 г.</t>
  </si>
  <si>
    <t>ВЕСОВАЯ КАТЕГОРИЯ   60</t>
  </si>
  <si>
    <t>-. Махов Марат</t>
  </si>
  <si>
    <t>Юниоры 20 - 23 (18.01.1999)/20</t>
  </si>
  <si>
    <t>59,20</t>
  </si>
  <si>
    <t xml:space="preserve">КБГУ </t>
  </si>
  <si>
    <t xml:space="preserve">Нальчик/Кабардино-Балкария республика </t>
  </si>
  <si>
    <t xml:space="preserve">Ингушев Ч. </t>
  </si>
  <si>
    <t>Сажин Александр</t>
  </si>
  <si>
    <t>1. Сажин Александр</t>
  </si>
  <si>
    <t>Мастера 40 - 44 (13.07.1979)/40</t>
  </si>
  <si>
    <t>73,20</t>
  </si>
  <si>
    <t xml:space="preserve">Спортлайф </t>
  </si>
  <si>
    <t xml:space="preserve">Кропоткин/Краснодарский край </t>
  </si>
  <si>
    <t>112,5</t>
  </si>
  <si>
    <t>76,2075</t>
  </si>
  <si>
    <t>Результат</t>
  </si>
  <si>
    <t>КУБОК СИЛЫ - VII
Любители жим лежа в многослойной экипировке
Краснодар/Краснодарский край 21 - 22 декабря 2019 г.</t>
  </si>
  <si>
    <t>Мацегоров Евгений</t>
  </si>
  <si>
    <t>1. Мацегоров Евгений</t>
  </si>
  <si>
    <t>Открытая (06.05.1986)/33</t>
  </si>
  <si>
    <t>90,00</t>
  </si>
  <si>
    <t xml:space="preserve">МегаФит </t>
  </si>
  <si>
    <t xml:space="preserve">Туапсе/Краснодарский край </t>
  </si>
  <si>
    <t>242,5</t>
  </si>
  <si>
    <t>Кармирьян Михаил</t>
  </si>
  <si>
    <t>1. Кармирьян Михаил</t>
  </si>
  <si>
    <t>Открытая (09.08.1982)/37</t>
  </si>
  <si>
    <t>91,60</t>
  </si>
  <si>
    <t>150,7148</t>
  </si>
  <si>
    <t>131,7907</t>
  </si>
  <si>
    <t>КУБОК СИЛЫ - VII
ПРО жим лежа в многослойной экипировке
Краснодар/Краснодарский край 21 - 22 декабря 2019 г.</t>
  </si>
  <si>
    <t>КУБОК СИЛЫ - VII
Любители жим лежа в однослойной экипировке
Краснодар/Краснодарский край 21 - 22 декабря 2019 г.</t>
  </si>
  <si>
    <t>Рассказов Александр</t>
  </si>
  <si>
    <t>1. Рассказов Александр</t>
  </si>
  <si>
    <t>Мастера 55 - 59 (27.06.1961)/58</t>
  </si>
  <si>
    <t>89,40</t>
  </si>
  <si>
    <t xml:space="preserve">Гранит </t>
  </si>
  <si>
    <t xml:space="preserve">Манченко А. </t>
  </si>
  <si>
    <t xml:space="preserve">Мастера 55 - 59 </t>
  </si>
  <si>
    <t>128,5520</t>
  </si>
  <si>
    <t>КУБОК СИЛЫ - VII
ПРО жим лежа в однослойной экипировке
Краснодар/Краснодарский край 21 - 22 декабря 2019 г.</t>
  </si>
  <si>
    <t>КУБОК СИЛЫ - VII
Любители жим лежа без экипировки
Краснодар/Краснодарский край 21 - 22 декабря 2019 г.</t>
  </si>
  <si>
    <t>Мастюкова Валерия</t>
  </si>
  <si>
    <t>1. Мастюкова Валерия</t>
  </si>
  <si>
    <t>Мастера 40 - 44 (12.11.1975)/44</t>
  </si>
  <si>
    <t>67,60</t>
  </si>
  <si>
    <t xml:space="preserve">финтес- клуб "Планета Железяка" </t>
  </si>
  <si>
    <t>72,5</t>
  </si>
  <si>
    <t xml:space="preserve">Насонов Р. </t>
  </si>
  <si>
    <t>Коваленко Михаил</t>
  </si>
  <si>
    <t>1. Коваленко Михаил</t>
  </si>
  <si>
    <t>Открытая (27.02.1988)/31</t>
  </si>
  <si>
    <t>66,10</t>
  </si>
  <si>
    <t>Дукаев Руслан</t>
  </si>
  <si>
    <t>1. Дукаев Руслан</t>
  </si>
  <si>
    <t>Юниоры 20 - 23 (18.08.1999)/20</t>
  </si>
  <si>
    <t>70,60</t>
  </si>
  <si>
    <t>Гусаков Виталий</t>
  </si>
  <si>
    <t>1. Гусаков Виталий</t>
  </si>
  <si>
    <t>Юниоры 20 - 23 (14.11.1999)/20</t>
  </si>
  <si>
    <t>78,60</t>
  </si>
  <si>
    <t>145,0</t>
  </si>
  <si>
    <t>Открытая (14.11.1999)/20</t>
  </si>
  <si>
    <t>Байдалин Александр</t>
  </si>
  <si>
    <t>2. Байдалин Александр</t>
  </si>
  <si>
    <t>Открытая (20.06.1986)/33</t>
  </si>
  <si>
    <t>80,80</t>
  </si>
  <si>
    <t xml:space="preserve">Феникс </t>
  </si>
  <si>
    <t xml:space="preserve">Ейск/Краснодарский край </t>
  </si>
  <si>
    <t xml:space="preserve">Байдин М. </t>
  </si>
  <si>
    <t>Васнев Денис</t>
  </si>
  <si>
    <t>3. Васнев Денис</t>
  </si>
  <si>
    <t>Открытая (19.04.1986)/33</t>
  </si>
  <si>
    <t>82,50</t>
  </si>
  <si>
    <t xml:space="preserve">Ухобтов В. </t>
  </si>
  <si>
    <t>Тимофеев Виктор</t>
  </si>
  <si>
    <t>4. Тимофеев Виктор</t>
  </si>
  <si>
    <t>Открытая (29.07.1991)/28</t>
  </si>
  <si>
    <t>81,90</t>
  </si>
  <si>
    <t xml:space="preserve">Олимп </t>
  </si>
  <si>
    <t xml:space="preserve">Волжский/Волгоградская область </t>
  </si>
  <si>
    <t>Геворков Алексей</t>
  </si>
  <si>
    <t>5. Геворков Алексей</t>
  </si>
  <si>
    <t>Открытая (16.09.1990)/29</t>
  </si>
  <si>
    <t xml:space="preserve">Швейцов С. </t>
  </si>
  <si>
    <t>Казаков Александр</t>
  </si>
  <si>
    <t>1. Казаков Александр</t>
  </si>
  <si>
    <t>Открытая (04.08.1985)/34</t>
  </si>
  <si>
    <t>88,80</t>
  </si>
  <si>
    <t xml:space="preserve">лично </t>
  </si>
  <si>
    <t>182,5</t>
  </si>
  <si>
    <t xml:space="preserve">Колаян Г.В. </t>
  </si>
  <si>
    <t>Прищепа Юрий</t>
  </si>
  <si>
    <t>2. Прищепа Юрий</t>
  </si>
  <si>
    <t>Открытая (30.07.1985)/34</t>
  </si>
  <si>
    <t>87,00</t>
  </si>
  <si>
    <t xml:space="preserve">Гулькевичи/Краснодарский край </t>
  </si>
  <si>
    <t xml:space="preserve">Приходько А. </t>
  </si>
  <si>
    <t>Карпов Сергей</t>
  </si>
  <si>
    <t>1. Карпов Сергей</t>
  </si>
  <si>
    <t>Мастера 40 - 44 (04.09.1976)/43</t>
  </si>
  <si>
    <t>89,50</t>
  </si>
  <si>
    <t>Сидоров Матвей</t>
  </si>
  <si>
    <t>1. Сидоров Матвей</t>
  </si>
  <si>
    <t>Юноши 18 - 19 (17.04.2001)/18</t>
  </si>
  <si>
    <t>99,30</t>
  </si>
  <si>
    <t>Открытая (17.04.2001)/18</t>
  </si>
  <si>
    <t>Лозовой Данил</t>
  </si>
  <si>
    <t>2. Лозовой Данил</t>
  </si>
  <si>
    <t>Открытая (06.09.1989)/30</t>
  </si>
  <si>
    <t>97,20</t>
  </si>
  <si>
    <t xml:space="preserve">Инфит </t>
  </si>
  <si>
    <t xml:space="preserve">Седнев Д. </t>
  </si>
  <si>
    <t>Куница Василий</t>
  </si>
  <si>
    <t>3. Куница Василий</t>
  </si>
  <si>
    <t>Открытая (12.12.1991)/28</t>
  </si>
  <si>
    <t>99,00</t>
  </si>
  <si>
    <t xml:space="preserve">Накинь </t>
  </si>
  <si>
    <t>Шевченко Александр</t>
  </si>
  <si>
    <t>4. Шевченко Александр</t>
  </si>
  <si>
    <t>Открытая (01.07.1990)/29</t>
  </si>
  <si>
    <t>98,20</t>
  </si>
  <si>
    <t xml:space="preserve">Lucky fit </t>
  </si>
  <si>
    <t>152,5</t>
  </si>
  <si>
    <t xml:space="preserve">Смыченко К. </t>
  </si>
  <si>
    <t>Черников Игорь</t>
  </si>
  <si>
    <t>1. Черников Игорь</t>
  </si>
  <si>
    <t>Открытая (25.06.1983)/36</t>
  </si>
  <si>
    <t>122,80</t>
  </si>
  <si>
    <t xml:space="preserve">Парк Горького </t>
  </si>
  <si>
    <t>212,5</t>
  </si>
  <si>
    <t xml:space="preserve">Панкратов А. </t>
  </si>
  <si>
    <t>-. Ремнёв Василий</t>
  </si>
  <si>
    <t>Трудик Андрей</t>
  </si>
  <si>
    <t>1. Трудик Андрей</t>
  </si>
  <si>
    <t>Мастера 45 - 49 (16.01.1974)/45</t>
  </si>
  <si>
    <t>118,00</t>
  </si>
  <si>
    <t>-. Новосельцев Олег</t>
  </si>
  <si>
    <t>58,1012</t>
  </si>
  <si>
    <t xml:space="preserve">Юноши 18 - 19 </t>
  </si>
  <si>
    <t>108,9924</t>
  </si>
  <si>
    <t>95,7632</t>
  </si>
  <si>
    <t>68,2993</t>
  </si>
  <si>
    <t>111,3500</t>
  </si>
  <si>
    <t>106,2180</t>
  </si>
  <si>
    <t>102,8230</t>
  </si>
  <si>
    <t>92,9740</t>
  </si>
  <si>
    <t>92,6145</t>
  </si>
  <si>
    <t>84,8340</t>
  </si>
  <si>
    <t>83,4750</t>
  </si>
  <si>
    <t>81,3780</t>
  </si>
  <si>
    <t>80,7030</t>
  </si>
  <si>
    <t>80,5090</t>
  </si>
  <si>
    <t>78,2040</t>
  </si>
  <si>
    <t>74,6880</t>
  </si>
  <si>
    <t>65,0265</t>
  </si>
  <si>
    <t xml:space="preserve">Мастера 45 - 49 </t>
  </si>
  <si>
    <t>92,8256</t>
  </si>
  <si>
    <t>80,7126</t>
  </si>
  <si>
    <t>КУБОК СИЛЫ - VII
ПРО жим лежа без экипировки
Краснодар/Краснодарский край 21 - 22 декабря 2019 г.</t>
  </si>
  <si>
    <t>Курячий Юрий</t>
  </si>
  <si>
    <t>1. Курячий Юрий</t>
  </si>
  <si>
    <t>Юниоры 20 - 23 (23.12.1997)/21</t>
  </si>
  <si>
    <t>88,90</t>
  </si>
  <si>
    <t xml:space="preserve">Real Profit </t>
  </si>
  <si>
    <t>Бондаренко Иван</t>
  </si>
  <si>
    <t>1. Бондаренко Иван</t>
  </si>
  <si>
    <t>Открытая (14.11.1986)/33</t>
  </si>
  <si>
    <t>106,20</t>
  </si>
  <si>
    <t xml:space="preserve">Титан </t>
  </si>
  <si>
    <t xml:space="preserve">Славянск-на-Кубани/Краснодарский край </t>
  </si>
  <si>
    <t>Немец Денис</t>
  </si>
  <si>
    <t>2. Немец Денис</t>
  </si>
  <si>
    <t>Открытая (14.02.1981)/38</t>
  </si>
  <si>
    <t>108,50</t>
  </si>
  <si>
    <t xml:space="preserve">Березин И.Ю. </t>
  </si>
  <si>
    <t>Тозлиян Артур</t>
  </si>
  <si>
    <t>1. Тозлиян Артур</t>
  </si>
  <si>
    <t>Юниоры 20 - 23 (22.11.1996)/23</t>
  </si>
  <si>
    <t>125,00</t>
  </si>
  <si>
    <t xml:space="preserve">СК Здоровяк </t>
  </si>
  <si>
    <t xml:space="preserve">Горячий Ключ/Краснодарский край </t>
  </si>
  <si>
    <t xml:space="preserve">Кондратьев В.М. </t>
  </si>
  <si>
    <t>Барилко Алексей</t>
  </si>
  <si>
    <t>1. Барилко Алексей</t>
  </si>
  <si>
    <t>Мастера 40 - 44 (06.09.1979)/40</t>
  </si>
  <si>
    <t>122,00</t>
  </si>
  <si>
    <t xml:space="preserve">Арнольд </t>
  </si>
  <si>
    <t xml:space="preserve">Сизов А.А. </t>
  </si>
  <si>
    <t>104,2000</t>
  </si>
  <si>
    <t>99,2465</t>
  </si>
  <si>
    <t>96,1518</t>
  </si>
  <si>
    <t>78,0680</t>
  </si>
  <si>
    <t>89,2330</t>
  </si>
  <si>
    <t>КУБОК СИЛЫ - VII
Любители жим лежа в Софт экипировка однопетельная
Краснодар/Краснодарский край 21 - 22 декабря 2019 г.</t>
  </si>
  <si>
    <t>Свидин Андрей</t>
  </si>
  <si>
    <t>1. Свидин Андрей</t>
  </si>
  <si>
    <t>Открытая (01.02.1980)/39</t>
  </si>
  <si>
    <t>247,5</t>
  </si>
  <si>
    <t>252,5</t>
  </si>
  <si>
    <t>149,0002</t>
  </si>
  <si>
    <t>КУБОК СИЛЫ - VII
ПРО жим лежа Софт экипировка однопетельная
Краснодар/Краснодарский край 21 - 22 декабря 2019 г.</t>
  </si>
  <si>
    <t>КУБОК СИЛЫ - VII
Любители жим лежа в Софт экипировка многопетельная
Краснодар/Краснодарский край 21 - 22 декабря 2019 г.</t>
  </si>
  <si>
    <t>280,0</t>
  </si>
  <si>
    <t>300,0</t>
  </si>
  <si>
    <t>307,5</t>
  </si>
  <si>
    <t>161,1300</t>
  </si>
  <si>
    <t>КУБОК СИЛЫ - VII
ПРО жим лежа в Софт экипировка многопетельная
Краснодар/Краснодарский край 21 - 22 декабря 2019 г.</t>
  </si>
  <si>
    <t>Космынин Владимир</t>
  </si>
  <si>
    <t>1. Космынин Владимир</t>
  </si>
  <si>
    <t>Мастера 55 - 59 (12.06.1960)/59</t>
  </si>
  <si>
    <t>201,2272</t>
  </si>
  <si>
    <t>КУБОК СИЛЫ - VII
Любители становая тяга в многослойной экипировке
Краснодар/Краснодарский край 21 - 22 декабря 2019 г.</t>
  </si>
  <si>
    <t>КУБОК СИЛЫ - VII
ПРО становая тяга в многослойной экипировке
Краснодар/Краснодарский край 21 - 22 декабря 2019 г.</t>
  </si>
  <si>
    <t>КУБОК СИЛЫ - VII
Любители становая тяга в однослойной экипировке
Краснодар/Краснодарский край 21 - 22 декабря 2019 г.</t>
  </si>
  <si>
    <t>КУБОК СИЛЫ - VII
ПРО становая тяга в однослойной экипировке
Краснодар/Краснодарский край 21 - 22 декабря 2019 г.</t>
  </si>
  <si>
    <t>КУБОК СИЛЫ - VII
Любители становая тяга без экипировки
Краснодар/Краснодарский край 21 - 22 декабря 2019 г.</t>
  </si>
  <si>
    <t>ВЕСОВАЯ КАТЕГОРИЯ   52</t>
  </si>
  <si>
    <t>Голова Анастасия</t>
  </si>
  <si>
    <t>1. Голова Анастасия</t>
  </si>
  <si>
    <t>Юниорки 20 - 23 (29.01.1999)/20</t>
  </si>
  <si>
    <t>52,00</t>
  </si>
  <si>
    <t>102,5</t>
  </si>
  <si>
    <t>Миносян Седа</t>
  </si>
  <si>
    <t>1. Миносян Седа</t>
  </si>
  <si>
    <t>Открытая (15.10.1980)/39</t>
  </si>
  <si>
    <t>50,90</t>
  </si>
  <si>
    <t xml:space="preserve">Антал </t>
  </si>
  <si>
    <t xml:space="preserve">Тульский/Адыгея республика </t>
  </si>
  <si>
    <t xml:space="preserve">Талавасов А.Н. </t>
  </si>
  <si>
    <t>Абрамихина Светлана</t>
  </si>
  <si>
    <t>2. Абрамихина Светлана</t>
  </si>
  <si>
    <t>Открытая (14.07.1993)/26</t>
  </si>
  <si>
    <t>50,70</t>
  </si>
  <si>
    <t xml:space="preserve">Ухобтов Владимир </t>
  </si>
  <si>
    <t>Крылова Надежда</t>
  </si>
  <si>
    <t>1. Крылова Надежда</t>
  </si>
  <si>
    <t>Открытая (24.11.1982)/37</t>
  </si>
  <si>
    <t>59,90</t>
  </si>
  <si>
    <t>Гаркун Ольга</t>
  </si>
  <si>
    <t>1. Гаркун Ольга</t>
  </si>
  <si>
    <t>Мастера 40 - 44 (22.09.1979)/40</t>
  </si>
  <si>
    <t>58,50</t>
  </si>
  <si>
    <t>Малахова Юлия</t>
  </si>
  <si>
    <t>1. Малахова Юлия</t>
  </si>
  <si>
    <t>Мастера 45 - 49 (11.12.1974)/45</t>
  </si>
  <si>
    <t>66,90</t>
  </si>
  <si>
    <t xml:space="preserve">Грибов А. </t>
  </si>
  <si>
    <t>Ковальская Алла</t>
  </si>
  <si>
    <t>1. Ковальская Алла</t>
  </si>
  <si>
    <t>Мастера 40 - 44 (01.01.1975)/44</t>
  </si>
  <si>
    <t>Татауров Максим</t>
  </si>
  <si>
    <t>1. Татауров Максим</t>
  </si>
  <si>
    <t>Открытая (02.01.1992)/27</t>
  </si>
  <si>
    <t>60,00</t>
  </si>
  <si>
    <t>Басанцов Дмитрий</t>
  </si>
  <si>
    <t>1. Басанцов Дмитрий</t>
  </si>
  <si>
    <t>Юниоры 20 - 23 (11.08.1997)/22</t>
  </si>
  <si>
    <t>61,70</t>
  </si>
  <si>
    <t xml:space="preserve">Майкоп/Адыгея </t>
  </si>
  <si>
    <t>Кондакчян Александр</t>
  </si>
  <si>
    <t>1. Кондакчян Александр</t>
  </si>
  <si>
    <t>Юноши 16 - 17 (23.04.2003)/16</t>
  </si>
  <si>
    <t>80,00</t>
  </si>
  <si>
    <t>Бецуков Мурат</t>
  </si>
  <si>
    <t>1. Бецуков Мурат</t>
  </si>
  <si>
    <t>Юноши 18 - 19 (09.01.2000)/19</t>
  </si>
  <si>
    <t>82,20</t>
  </si>
  <si>
    <t>Начоев Рамазан</t>
  </si>
  <si>
    <t>1. Начоев Рамазан</t>
  </si>
  <si>
    <t>Юниоры 20 - 23 (16.03.1999)/20</t>
  </si>
  <si>
    <t>88,60</t>
  </si>
  <si>
    <t>Авербух Лев</t>
  </si>
  <si>
    <t>2. Авербух Лев</t>
  </si>
  <si>
    <t>Открытая (30.09.1990)/29</t>
  </si>
  <si>
    <t>86,10</t>
  </si>
  <si>
    <t xml:space="preserve">Чугунов Е.Г. </t>
  </si>
  <si>
    <t>Балтин Олег</t>
  </si>
  <si>
    <t>1. Балтин Олег</t>
  </si>
  <si>
    <t>Мастера 40 - 44 (26.05.1978)/41</t>
  </si>
  <si>
    <t>89,60</t>
  </si>
  <si>
    <t xml:space="preserve">Арена </t>
  </si>
  <si>
    <t>237,5</t>
  </si>
  <si>
    <t>Бережной Владислав</t>
  </si>
  <si>
    <t>1. Бережной Владислав</t>
  </si>
  <si>
    <t>Юниоры 20 - 23 (22.07.1999)/20</t>
  </si>
  <si>
    <t>97,00</t>
  </si>
  <si>
    <t xml:space="preserve">Зеновьева В. </t>
  </si>
  <si>
    <t>Катасонов Денис</t>
  </si>
  <si>
    <t>1. Катасонов Денис</t>
  </si>
  <si>
    <t>Открытая (18.01.1980)/39</t>
  </si>
  <si>
    <t>96,10</t>
  </si>
  <si>
    <t>-. Беляков Игорь</t>
  </si>
  <si>
    <t xml:space="preserve">Юниорки </t>
  </si>
  <si>
    <t>52</t>
  </si>
  <si>
    <t>89,8587</t>
  </si>
  <si>
    <t>115,9020</t>
  </si>
  <si>
    <t>101,4340</t>
  </si>
  <si>
    <t>60</t>
  </si>
  <si>
    <t>86,2150</t>
  </si>
  <si>
    <t>98,7468</t>
  </si>
  <si>
    <t>75,7476</t>
  </si>
  <si>
    <t>70,3520</t>
  </si>
  <si>
    <t>128,7319</t>
  </si>
  <si>
    <t>116,2325</t>
  </si>
  <si>
    <t>158,0801</t>
  </si>
  <si>
    <t>143,0516</t>
  </si>
  <si>
    <t>131,6868</t>
  </si>
  <si>
    <t>127,3265</t>
  </si>
  <si>
    <t>151,9507</t>
  </si>
  <si>
    <t>146,7700</t>
  </si>
  <si>
    <t>134,7120</t>
  </si>
  <si>
    <t>109,7280</t>
  </si>
  <si>
    <t>85,7565</t>
  </si>
  <si>
    <t>139,8069</t>
  </si>
  <si>
    <t>КУБОК СИЛЫ - VII
ПРО становая тяга без экипировки
Краснодар/Краснодарский край 21 - 22 декабря 2019 г.</t>
  </si>
  <si>
    <t>Руденко Елена</t>
  </si>
  <si>
    <t>1. Руденко Елена</t>
  </si>
  <si>
    <t>Мастера 45 - 49 (19.05.1970)/49</t>
  </si>
  <si>
    <t>81,60</t>
  </si>
  <si>
    <t xml:space="preserve">SPORT LIFE </t>
  </si>
  <si>
    <t xml:space="preserve">Котов П.А. </t>
  </si>
  <si>
    <t>Крят Игорь</t>
  </si>
  <si>
    <t>1. Крят Игорь</t>
  </si>
  <si>
    <t>Открытая (31.05.1988)/31</t>
  </si>
  <si>
    <t>88,70</t>
  </si>
  <si>
    <t xml:space="preserve">Тимашёвск/Краснодарский край </t>
  </si>
  <si>
    <t>310,0</t>
  </si>
  <si>
    <t xml:space="preserve">Бунтов Д. </t>
  </si>
  <si>
    <t>Христов Николай</t>
  </si>
  <si>
    <t>1. Христов Николай</t>
  </si>
  <si>
    <t>Открытая (14.09.1988)/31</t>
  </si>
  <si>
    <t>93,70</t>
  </si>
  <si>
    <t xml:space="preserve">Шкаликов М.Н. </t>
  </si>
  <si>
    <t>Талавасов Анатолий</t>
  </si>
  <si>
    <t>1. Талавасов Анатолий</t>
  </si>
  <si>
    <t>Открытая (01.12.1960)/59</t>
  </si>
  <si>
    <t>104,00</t>
  </si>
  <si>
    <t>Мастера 55 - 59 (01.12.1960)/59</t>
  </si>
  <si>
    <t>Скляр Олег</t>
  </si>
  <si>
    <t>1. Скляр Олег</t>
  </si>
  <si>
    <t>Мастера 50 - 54 (21.06.1966)/53</t>
  </si>
  <si>
    <t>116,00</t>
  </si>
  <si>
    <t xml:space="preserve">Спарта </t>
  </si>
  <si>
    <t xml:space="preserve">Скляр О.Ю. </t>
  </si>
  <si>
    <t>155,3323</t>
  </si>
  <si>
    <t>177,1500</t>
  </si>
  <si>
    <t>140,4662</t>
  </si>
  <si>
    <t>114,4000</t>
  </si>
  <si>
    <t>223,3413</t>
  </si>
  <si>
    <t xml:space="preserve">Мастера 50 - 54 </t>
  </si>
  <si>
    <t>183,4840</t>
  </si>
  <si>
    <t>141,7230</t>
  </si>
  <si>
    <t>КУБОК СИЛЫ - VII
Любители становая тяга в софт экипировке
Краснодар/Краснодарский край 21 - 22 декабря 2019 г.</t>
  </si>
  <si>
    <t>КУБОК СИЛЫ - VII
ПРО становая тяга в софт экипировке
Краснодар/Краснодарский край 21 - 22 декабря 2019 г.</t>
  </si>
  <si>
    <t>КУБОК СИЛЫ - VII
Любители присед в многослойной экипировке
Краснодар/Краснодарский край 21 - 22 декабря 2019 г.</t>
  </si>
  <si>
    <t>КУБОК СИЛЫ - VII
ПРО присед в многослойной экипировке
Краснодар/Краснодарский край 21 - 22 декабря 2019 г.</t>
  </si>
  <si>
    <t>КУБОК СИЛЫ - VII
Любители присед в однослойной экипировке
Краснодар/Краснодарский край 21 - 22 декабря 2019 г.</t>
  </si>
  <si>
    <t>КУБОК СИЛЫ - VII
ПРО присед в однослойной экипировке
Краснодар/Краснодарский край 21 - 22 декабря 2019 г.</t>
  </si>
  <si>
    <t>КУБОК СИЛЫ - VII
Любители присед без экипировки
Краснодар/Краснодарский край 21 - 22 декабря 2019 г.</t>
  </si>
  <si>
    <t>Игнатко Екатерина</t>
  </si>
  <si>
    <t>1. Игнатко Екатерина</t>
  </si>
  <si>
    <t>Открытая (06.04.1989)/30</t>
  </si>
  <si>
    <t>62,50</t>
  </si>
  <si>
    <t>74,8665</t>
  </si>
  <si>
    <t>КУБОК СИЛЫ - VII
ПРО присед без экипировки
Краснодар/Краснодарский край 21 - 22 декабря 2019 г.</t>
  </si>
  <si>
    <t>125,7650</t>
  </si>
  <si>
    <t>КУБОК СИЛЫ - VII
Любители присед в софт экипировке
Краснодар/Краснодарский край 21 - 22 декабря 2019 г.</t>
  </si>
  <si>
    <t>1. Олейников Владимир</t>
  </si>
  <si>
    <t>140,8680</t>
  </si>
  <si>
    <t>КУБОК СИЛЫ - VII
ПРО присед в софт экипировке
Краснодар/Краснодарский край 21 - 22 декабря 2019 г.</t>
  </si>
  <si>
    <t>КУБОК СИЛЫ - VII
Любители пауэрлифтинг в софт экипировке Стандарт
Краснодар/Краснодарский край 21 - 22 декабря 2019 г.</t>
  </si>
  <si>
    <t>205</t>
  </si>
  <si>
    <t>210</t>
  </si>
  <si>
    <t>115</t>
  </si>
  <si>
    <t>225</t>
  </si>
  <si>
    <t>230</t>
  </si>
  <si>
    <t>555,0</t>
  </si>
  <si>
    <t>372,2940</t>
  </si>
  <si>
    <t>110,8600</t>
  </si>
  <si>
    <t>101,2206</t>
  </si>
  <si>
    <t>101,9850</t>
  </si>
  <si>
    <t>2. Ремнёв Василий</t>
  </si>
  <si>
    <t>67,50</t>
  </si>
  <si>
    <t>1891,2600</t>
  </si>
  <si>
    <t>2100,0</t>
  </si>
  <si>
    <t>Смалюк Олеся</t>
  </si>
  <si>
    <t xml:space="preserve">НАП Н.Ж. </t>
  </si>
  <si>
    <t>30,0</t>
  </si>
  <si>
    <t>68,40</t>
  </si>
  <si>
    <t>Открытая (01.04.1988)/31</t>
  </si>
  <si>
    <t>1. Смалюк Олеся</t>
  </si>
  <si>
    <t>Повторы</t>
  </si>
  <si>
    <t>Вес</t>
  </si>
  <si>
    <t>Тоннаж</t>
  </si>
  <si>
    <t>Народная становая</t>
  </si>
  <si>
    <t>НАП Н.Ж.</t>
  </si>
  <si>
    <t>Кубок Силы - VII - народная тяга
Любители народная становая тяга
Краснодар/Краснодарский край 21 - 22 декабря 2019 г.</t>
  </si>
  <si>
    <t>2456,0600</t>
  </si>
  <si>
    <t>3700,0</t>
  </si>
  <si>
    <t>Смыченко Константин</t>
  </si>
  <si>
    <t>37,0</t>
  </si>
  <si>
    <t>99,70</t>
  </si>
  <si>
    <t>Открытая (07.09.1983)/36</t>
  </si>
  <si>
    <t>1. Смыченко Константин</t>
  </si>
  <si>
    <t>Народный жим</t>
  </si>
  <si>
    <t>Кубок Силы - VII - народная тяга
Профессионалы народный жим (1 вес)
Краснодар/Краснодарский край 21 - 22 декабря 2019 г.</t>
  </si>
  <si>
    <t>93,3819</t>
  </si>
  <si>
    <t>Махов Марат</t>
  </si>
  <si>
    <t>1. Махов Марат</t>
  </si>
  <si>
    <t>Подъем на бицепс</t>
  </si>
  <si>
    <t>Жим стоя</t>
  </si>
  <si>
    <t>КУБОК СИЛЫ - VII Поуэрспорт
Пауэрспорт Любители
Краснодар/Краснодарский край 21 - 22 декабря 2019 г.</t>
  </si>
  <si>
    <t>47,3988</t>
  </si>
  <si>
    <t>87,5</t>
  </si>
  <si>
    <t>43,6083</t>
  </si>
  <si>
    <t>82,5</t>
  </si>
  <si>
    <t>КУБОК СИЛЫ - VII Поуэрспорт
Одиночный подъём штанги на бицепс Профессионалы
Краснодар/Краснодарский край 21 - 22 декабря 2019 г.</t>
  </si>
  <si>
    <t>41,0215</t>
  </si>
  <si>
    <t>67,5</t>
  </si>
  <si>
    <t>Попов Валерий</t>
  </si>
  <si>
    <t>32,2747</t>
  </si>
  <si>
    <t>Шевченко Денис</t>
  </si>
  <si>
    <t>37,6717</t>
  </si>
  <si>
    <t>Ахметов Руслан</t>
  </si>
  <si>
    <t>38,4667</t>
  </si>
  <si>
    <t>52,5</t>
  </si>
  <si>
    <t>Хагажеев Алим</t>
  </si>
  <si>
    <t>38,8395</t>
  </si>
  <si>
    <t>34,3378</t>
  </si>
  <si>
    <t>45,0</t>
  </si>
  <si>
    <t>35,0020</t>
  </si>
  <si>
    <t>39,1290</t>
  </si>
  <si>
    <t>Канкулов Астемир</t>
  </si>
  <si>
    <t>46,6909</t>
  </si>
  <si>
    <t>24,4552</t>
  </si>
  <si>
    <t>32,5</t>
  </si>
  <si>
    <t>Карданов Инал</t>
  </si>
  <si>
    <t>35,5155</t>
  </si>
  <si>
    <t>38,2185</t>
  </si>
  <si>
    <t>47,5</t>
  </si>
  <si>
    <t>Кибишев Азамат</t>
  </si>
  <si>
    <t>106,00</t>
  </si>
  <si>
    <t>-. Бондаренко Иван</t>
  </si>
  <si>
    <t>94,80</t>
  </si>
  <si>
    <t>Мастера 45 - 49 (22.12.1973)/46</t>
  </si>
  <si>
    <t>1. Попов Валерий</t>
  </si>
  <si>
    <t>Открытая (07.07.1989)/30</t>
  </si>
  <si>
    <t>2. Шевченко Денис</t>
  </si>
  <si>
    <t>62,0</t>
  </si>
  <si>
    <t>98,40</t>
  </si>
  <si>
    <t>Открытая (22.12.1982)/37</t>
  </si>
  <si>
    <t>1. Ахметов Руслан</t>
  </si>
  <si>
    <t>62,5</t>
  </si>
  <si>
    <t>27,5</t>
  </si>
  <si>
    <t>1. Карданов Инал</t>
  </si>
  <si>
    <t xml:space="preserve">Губжеев В.Р. </t>
  </si>
  <si>
    <t>66,80</t>
  </si>
  <si>
    <t>Открытая (26.11.1989)/30</t>
  </si>
  <si>
    <t>2. Хагажеев Алим</t>
  </si>
  <si>
    <t>2. Кожаев Эльдар</t>
  </si>
  <si>
    <t>67,00</t>
  </si>
  <si>
    <t>Юниоры 20 - 23 (06.04.1998)/21</t>
  </si>
  <si>
    <t>1. Канкулов Астемир</t>
  </si>
  <si>
    <t xml:space="preserve">Хагажеев А.А. </t>
  </si>
  <si>
    <t>42,0</t>
  </si>
  <si>
    <t>65,60</t>
  </si>
  <si>
    <t>Юноши 16 - 17 (02.06.2002)/17</t>
  </si>
  <si>
    <t>1. Кибишев Азамат</t>
  </si>
  <si>
    <t>КУБОК СИЛЫ - VII Поуэрспорт
Одиночный подъём штанги на бицепс Любители
Краснодар/Краснодарский край 21 - 22 декабря 2019 г.</t>
  </si>
  <si>
    <t>34,1151</t>
  </si>
  <si>
    <t>3200,0</t>
  </si>
  <si>
    <t>All</t>
  </si>
  <si>
    <t>Приходько Александр</t>
  </si>
  <si>
    <t xml:space="preserve">Атлетизм </t>
  </si>
  <si>
    <t>16,0</t>
  </si>
  <si>
    <t>93,80</t>
  </si>
  <si>
    <t>1. Приходько Александр</t>
  </si>
  <si>
    <t>ВЕСОВАЯ КАТЕГОРИЯ   All</t>
  </si>
  <si>
    <t>Русская становая</t>
  </si>
  <si>
    <t>Атлетизм</t>
  </si>
  <si>
    <t>КУБОК СИЛЫ - VII Русский жим + тяга
Русская станова тяга профессионалы 200 кг.
Краснодар/Краснодарский край 21 - 22 декабря 2019 г.</t>
  </si>
  <si>
    <t>56,7567</t>
  </si>
  <si>
    <t>4200,0</t>
  </si>
  <si>
    <t>Каширин Владислав</t>
  </si>
  <si>
    <t>28,0</t>
  </si>
  <si>
    <t xml:space="preserve">Кинекст </t>
  </si>
  <si>
    <t>74,00</t>
  </si>
  <si>
    <t>Открытая (09.09.1989)/30</t>
  </si>
  <si>
    <t>1. Каширин Владислав</t>
  </si>
  <si>
    <t>КУБОК СИЛЫ - VII Русский жим + тяга
Русская станова тяга профессионалы 150 кг.
Краснодар/Краснодарский край 21 - 22 декабря 2019 г.</t>
  </si>
  <si>
    <t>34,4827</t>
  </si>
  <si>
    <t>3000,0</t>
  </si>
  <si>
    <t>43,2098</t>
  </si>
  <si>
    <t>54,8780</t>
  </si>
  <si>
    <t>5400,0</t>
  </si>
  <si>
    <t>65,9340</t>
  </si>
  <si>
    <t>4800,0</t>
  </si>
  <si>
    <t>72,9335</t>
  </si>
  <si>
    <t>4500,0</t>
  </si>
  <si>
    <t>3. Прищепа Юрий</t>
  </si>
  <si>
    <t>54,0</t>
  </si>
  <si>
    <t>2. Басанцов Дмитрий</t>
  </si>
  <si>
    <t>48,0</t>
  </si>
  <si>
    <t>КУБОК СИЛЫ - VII Русский жим + тяга
Русская станова тяга любители 100 кг.
Краснодар/Краснодарский край 21 - 22 декабря 2019 г.</t>
  </si>
  <si>
    <t>42,1875</t>
  </si>
  <si>
    <t>2025,0</t>
  </si>
  <si>
    <t>Бульба Светлана</t>
  </si>
  <si>
    <t>42,8571</t>
  </si>
  <si>
    <t>2850,0</t>
  </si>
  <si>
    <t>Панкова Александра</t>
  </si>
  <si>
    <t xml:space="preserve">Трезинский А.В. </t>
  </si>
  <si>
    <t>27,0</t>
  </si>
  <si>
    <t xml:space="preserve">Воронеж/Воронежская область </t>
  </si>
  <si>
    <t>48,00</t>
  </si>
  <si>
    <t>Открытая (25.12.1987)/31</t>
  </si>
  <si>
    <t>2. Бульба Светлана</t>
  </si>
  <si>
    <t>38,0</t>
  </si>
  <si>
    <t>66,50</t>
  </si>
  <si>
    <t>Открытая (29.09.1992)/27</t>
  </si>
  <si>
    <t>1. Панкова Александра</t>
  </si>
  <si>
    <t>КУБОК СИЛЫ - VII Русский жим + тяга
Русская станова тяга любители 75 кг.
Краснодар/Краснодарский край 21 - 22 декабря 2019 г.</t>
  </si>
  <si>
    <t>48,6538</t>
  </si>
  <si>
    <t>2530,0</t>
  </si>
  <si>
    <t>Севостьянова Анна</t>
  </si>
  <si>
    <t>71,3942</t>
  </si>
  <si>
    <t>4455,0</t>
  </si>
  <si>
    <t>Зиновьева Валерия</t>
  </si>
  <si>
    <t>46,0</t>
  </si>
  <si>
    <t>Открытая (01.10.1995)/24</t>
  </si>
  <si>
    <t>2. Севостьянова Анна</t>
  </si>
  <si>
    <t xml:space="preserve">Пилявский В. </t>
  </si>
  <si>
    <t>81,0</t>
  </si>
  <si>
    <t>62,40</t>
  </si>
  <si>
    <t>Открытая (07.02.1991)/28</t>
  </si>
  <si>
    <t>1. Зиновьева Валерия</t>
  </si>
  <si>
    <t>КУБОК СИЛЫ - VII Русский жим + тяга
Русская станова тяга любители 55 кг.
Краснодар/Краснодарский край 21 - 22 декабря 2019 г.</t>
  </si>
  <si>
    <t>19,5465</t>
  </si>
  <si>
    <t>1595,0</t>
  </si>
  <si>
    <t>29,0</t>
  </si>
  <si>
    <t>Русский жим</t>
  </si>
  <si>
    <t>КУБОК СИЛЫ - VII Русский жим + тяга
Русский жим профессионалы 55 кг.
Краснодар/Краснодарский край 21 - 22 декабря 2019 г.</t>
  </si>
  <si>
    <t>24,1989</t>
  </si>
  <si>
    <t>1435,0</t>
  </si>
  <si>
    <t>Скляр Наталья</t>
  </si>
  <si>
    <t>41,0</t>
  </si>
  <si>
    <t>35,0</t>
  </si>
  <si>
    <t>59,30</t>
  </si>
  <si>
    <t>Мастера 50 - 54 (28.01.1967)/52</t>
  </si>
  <si>
    <t>1. Скляр Наталья</t>
  </si>
  <si>
    <t>КУБОК СИЛЫ - VII Русский жим + тяга
Русский жим профессионалы 35 кг.
Краснодар/Краснодарский край 21 - 22 декабря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</si>
</sst>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2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1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6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29" t="s">
        <v>9</v>
      </c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29" t="s">
        <v>4</v>
      </c>
      <c r="T3" s="29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30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30"/>
      <c r="T4" s="30"/>
      <c r="U4" s="32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9.8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4.25390625" style="4" bestFit="1" customWidth="1"/>
    <col min="14" max="16384" width="9.125" style="3" customWidth="1"/>
  </cols>
  <sheetData>
    <row r="1" spans="1:13" s="2" customFormat="1" ht="28.5" customHeight="1">
      <c r="A1" s="44" t="s">
        <v>628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29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137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630</v>
      </c>
      <c r="B6" s="11" t="s">
        <v>631</v>
      </c>
      <c r="C6" s="11" t="s">
        <v>632</v>
      </c>
      <c r="D6" s="11" t="str">
        <f>"0,6789"</f>
        <v>0,6789</v>
      </c>
      <c r="E6" s="11" t="s">
        <v>633</v>
      </c>
      <c r="F6" s="11" t="s">
        <v>409</v>
      </c>
      <c r="G6" s="12" t="s">
        <v>98</v>
      </c>
      <c r="H6" s="13" t="s">
        <v>123</v>
      </c>
      <c r="I6" s="13"/>
      <c r="J6" s="13"/>
      <c r="K6" s="11" t="str">
        <f>"200,0"</f>
        <v>200,0</v>
      </c>
      <c r="L6" s="12" t="str">
        <f>"155,3323"</f>
        <v>155,3323</v>
      </c>
      <c r="M6" s="11" t="s">
        <v>634</v>
      </c>
    </row>
    <row r="8" spans="1:12" ht="15">
      <c r="A8" s="47" t="s">
        <v>47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636</v>
      </c>
      <c r="B9" s="11" t="s">
        <v>637</v>
      </c>
      <c r="C9" s="11" t="s">
        <v>638</v>
      </c>
      <c r="D9" s="11" t="str">
        <f>"0,5905"</f>
        <v>0,5905</v>
      </c>
      <c r="E9" s="11" t="s">
        <v>52</v>
      </c>
      <c r="F9" s="11" t="s">
        <v>639</v>
      </c>
      <c r="G9" s="12" t="s">
        <v>517</v>
      </c>
      <c r="H9" s="13" t="s">
        <v>640</v>
      </c>
      <c r="I9" s="13"/>
      <c r="J9" s="13"/>
      <c r="K9" s="11" t="str">
        <f>"300,0"</f>
        <v>300,0</v>
      </c>
      <c r="L9" s="12" t="str">
        <f>"177,1500"</f>
        <v>177,1500</v>
      </c>
      <c r="M9" s="11" t="s">
        <v>641</v>
      </c>
    </row>
    <row r="11" spans="1:12" ht="15">
      <c r="A11" s="47" t="s">
        <v>160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1" t="s">
        <v>643</v>
      </c>
      <c r="B12" s="11" t="s">
        <v>644</v>
      </c>
      <c r="C12" s="11" t="s">
        <v>645</v>
      </c>
      <c r="D12" s="11" t="str">
        <f>"0,5720"</f>
        <v>0,5720</v>
      </c>
      <c r="E12" s="11" t="s">
        <v>52</v>
      </c>
      <c r="F12" s="11" t="s">
        <v>53</v>
      </c>
      <c r="G12" s="13" t="s">
        <v>94</v>
      </c>
      <c r="H12" s="12" t="s">
        <v>96</v>
      </c>
      <c r="I12" s="12" t="s">
        <v>98</v>
      </c>
      <c r="J12" s="13"/>
      <c r="K12" s="11" t="str">
        <f>"200,0"</f>
        <v>200,0</v>
      </c>
      <c r="L12" s="12" t="str">
        <f>"114,4000"</f>
        <v>114,4000</v>
      </c>
      <c r="M12" s="11" t="s">
        <v>646</v>
      </c>
    </row>
    <row r="14" spans="1:12" ht="15">
      <c r="A14" s="47" t="s">
        <v>193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4" t="s">
        <v>648</v>
      </c>
      <c r="B15" s="14" t="s">
        <v>649</v>
      </c>
      <c r="C15" s="14" t="s">
        <v>650</v>
      </c>
      <c r="D15" s="14" t="str">
        <f>"0,5455"</f>
        <v>0,5455</v>
      </c>
      <c r="E15" s="14" t="s">
        <v>540</v>
      </c>
      <c r="F15" s="14" t="s">
        <v>541</v>
      </c>
      <c r="G15" s="15" t="s">
        <v>174</v>
      </c>
      <c r="H15" s="15" t="s">
        <v>227</v>
      </c>
      <c r="I15" s="16"/>
      <c r="J15" s="16"/>
      <c r="K15" s="14" t="str">
        <f>"257,5"</f>
        <v>257,5</v>
      </c>
      <c r="L15" s="15" t="str">
        <f>"140,4662"</f>
        <v>140,4662</v>
      </c>
      <c r="M15" s="14" t="s">
        <v>159</v>
      </c>
    </row>
    <row r="16" spans="1:13" ht="12.75">
      <c r="A16" s="17" t="s">
        <v>648</v>
      </c>
      <c r="B16" s="17" t="s">
        <v>651</v>
      </c>
      <c r="C16" s="17" t="s">
        <v>650</v>
      </c>
      <c r="D16" s="17" t="str">
        <f>"0,5455"</f>
        <v>0,5455</v>
      </c>
      <c r="E16" s="17" t="s">
        <v>540</v>
      </c>
      <c r="F16" s="17" t="s">
        <v>541</v>
      </c>
      <c r="G16" s="18" t="s">
        <v>174</v>
      </c>
      <c r="H16" s="18" t="s">
        <v>227</v>
      </c>
      <c r="I16" s="19"/>
      <c r="J16" s="19"/>
      <c r="K16" s="17" t="str">
        <f>"257,5"</f>
        <v>257,5</v>
      </c>
      <c r="L16" s="18" t="str">
        <f>"223,3413"</f>
        <v>223,3413</v>
      </c>
      <c r="M16" s="17" t="s">
        <v>159</v>
      </c>
    </row>
    <row r="18" spans="1:12" ht="15">
      <c r="A18" s="47" t="s">
        <v>202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14" t="s">
        <v>497</v>
      </c>
      <c r="B19" s="14" t="s">
        <v>498</v>
      </c>
      <c r="C19" s="14" t="s">
        <v>499</v>
      </c>
      <c r="D19" s="14" t="str">
        <f>"0,5249"</f>
        <v>0,5249</v>
      </c>
      <c r="E19" s="14" t="s">
        <v>500</v>
      </c>
      <c r="F19" s="14" t="s">
        <v>53</v>
      </c>
      <c r="G19" s="15" t="s">
        <v>290</v>
      </c>
      <c r="H19" s="15" t="s">
        <v>175</v>
      </c>
      <c r="I19" s="15" t="s">
        <v>176</v>
      </c>
      <c r="J19" s="16"/>
      <c r="K19" s="14" t="str">
        <f>"270,0"</f>
        <v>270,0</v>
      </c>
      <c r="L19" s="15" t="str">
        <f>"141,7230"</f>
        <v>141,7230</v>
      </c>
      <c r="M19" s="14" t="s">
        <v>501</v>
      </c>
    </row>
    <row r="20" spans="1:13" ht="12.75">
      <c r="A20" s="17" t="s">
        <v>653</v>
      </c>
      <c r="B20" s="17" t="s">
        <v>654</v>
      </c>
      <c r="C20" s="17" t="s">
        <v>655</v>
      </c>
      <c r="D20" s="17" t="str">
        <f>"0,5305"</f>
        <v>0,5305</v>
      </c>
      <c r="E20" s="17" t="s">
        <v>656</v>
      </c>
      <c r="F20" s="17" t="s">
        <v>53</v>
      </c>
      <c r="G20" s="18" t="s">
        <v>175</v>
      </c>
      <c r="H20" s="18" t="s">
        <v>176</v>
      </c>
      <c r="I20" s="19" t="s">
        <v>516</v>
      </c>
      <c r="J20" s="19"/>
      <c r="K20" s="17" t="str">
        <f>"270,0"</f>
        <v>270,0</v>
      </c>
      <c r="L20" s="18" t="str">
        <f>"183,4840"</f>
        <v>183,4840</v>
      </c>
      <c r="M20" s="17" t="s">
        <v>657</v>
      </c>
    </row>
    <row r="22" ht="15">
      <c r="E22" s="9" t="s">
        <v>14</v>
      </c>
    </row>
    <row r="23" ht="15">
      <c r="E23" s="9" t="s">
        <v>15</v>
      </c>
    </row>
    <row r="24" ht="15">
      <c r="E24" s="9" t="s">
        <v>16</v>
      </c>
    </row>
    <row r="25" ht="15">
      <c r="E25" s="9" t="s">
        <v>17</v>
      </c>
    </row>
    <row r="26" ht="15">
      <c r="E26" s="9" t="s">
        <v>17</v>
      </c>
    </row>
    <row r="27" ht="15">
      <c r="E27" s="9" t="s">
        <v>18</v>
      </c>
    </row>
    <row r="28" ht="15">
      <c r="E28" s="9"/>
    </row>
    <row r="30" spans="1:2" ht="18">
      <c r="A30" s="10" t="s">
        <v>19</v>
      </c>
      <c r="B30" s="10"/>
    </row>
    <row r="31" spans="1:2" ht="15">
      <c r="A31" s="23" t="s">
        <v>216</v>
      </c>
      <c r="B31" s="23"/>
    </row>
    <row r="32" spans="1:2" ht="14.25">
      <c r="A32" s="25"/>
      <c r="B32" s="26" t="s">
        <v>278</v>
      </c>
    </row>
    <row r="33" spans="1:5" ht="15">
      <c r="A33" s="27" t="s">
        <v>218</v>
      </c>
      <c r="B33" s="27" t="s">
        <v>219</v>
      </c>
      <c r="C33" s="27" t="s">
        <v>220</v>
      </c>
      <c r="D33" s="27" t="s">
        <v>221</v>
      </c>
      <c r="E33" s="27" t="s">
        <v>222</v>
      </c>
    </row>
    <row r="34" spans="1:5" ht="12.75">
      <c r="A34" s="24" t="s">
        <v>629</v>
      </c>
      <c r="B34" s="4" t="s">
        <v>469</v>
      </c>
      <c r="C34" s="4" t="s">
        <v>234</v>
      </c>
      <c r="D34" s="4" t="s">
        <v>98</v>
      </c>
      <c r="E34" s="28" t="s">
        <v>658</v>
      </c>
    </row>
    <row r="37" spans="1:2" ht="15">
      <c r="A37" s="23" t="s">
        <v>229</v>
      </c>
      <c r="B37" s="23"/>
    </row>
    <row r="38" spans="1:2" ht="14.25">
      <c r="A38" s="25"/>
      <c r="B38" s="26" t="s">
        <v>217</v>
      </c>
    </row>
    <row r="39" spans="1:5" ht="15">
      <c r="A39" s="27" t="s">
        <v>218</v>
      </c>
      <c r="B39" s="27" t="s">
        <v>219</v>
      </c>
      <c r="C39" s="27" t="s">
        <v>220</v>
      </c>
      <c r="D39" s="27" t="s">
        <v>221</v>
      </c>
      <c r="E39" s="27" t="s">
        <v>222</v>
      </c>
    </row>
    <row r="40" spans="1:5" ht="12.75">
      <c r="A40" s="24" t="s">
        <v>635</v>
      </c>
      <c r="B40" s="4" t="s">
        <v>217</v>
      </c>
      <c r="C40" s="4" t="s">
        <v>223</v>
      </c>
      <c r="D40" s="4" t="s">
        <v>517</v>
      </c>
      <c r="E40" s="28" t="s">
        <v>659</v>
      </c>
    </row>
    <row r="41" spans="1:5" ht="12.75">
      <c r="A41" s="24" t="s">
        <v>647</v>
      </c>
      <c r="B41" s="4" t="s">
        <v>217</v>
      </c>
      <c r="C41" s="4" t="s">
        <v>273</v>
      </c>
      <c r="D41" s="4" t="s">
        <v>227</v>
      </c>
      <c r="E41" s="28" t="s">
        <v>660</v>
      </c>
    </row>
    <row r="42" spans="1:5" ht="12.75">
      <c r="A42" s="24" t="s">
        <v>642</v>
      </c>
      <c r="B42" s="4" t="s">
        <v>217</v>
      </c>
      <c r="C42" s="4" t="s">
        <v>242</v>
      </c>
      <c r="D42" s="4" t="s">
        <v>98</v>
      </c>
      <c r="E42" s="28" t="s">
        <v>661</v>
      </c>
    </row>
    <row r="44" spans="1:2" ht="14.25">
      <c r="A44" s="25"/>
      <c r="B44" s="26" t="s">
        <v>278</v>
      </c>
    </row>
    <row r="45" spans="1:5" ht="15">
      <c r="A45" s="27" t="s">
        <v>218</v>
      </c>
      <c r="B45" s="27" t="s">
        <v>219</v>
      </c>
      <c r="C45" s="27" t="s">
        <v>220</v>
      </c>
      <c r="D45" s="27" t="s">
        <v>221</v>
      </c>
      <c r="E45" s="27" t="s">
        <v>222</v>
      </c>
    </row>
    <row r="46" spans="1:5" ht="12.75">
      <c r="A46" s="24" t="s">
        <v>647</v>
      </c>
      <c r="B46" s="4" t="s">
        <v>351</v>
      </c>
      <c r="C46" s="4" t="s">
        <v>273</v>
      </c>
      <c r="D46" s="4" t="s">
        <v>227</v>
      </c>
      <c r="E46" s="28" t="s">
        <v>662</v>
      </c>
    </row>
    <row r="47" spans="1:5" ht="12.75">
      <c r="A47" s="24" t="s">
        <v>652</v>
      </c>
      <c r="B47" s="4" t="s">
        <v>663</v>
      </c>
      <c r="C47" s="4" t="s">
        <v>260</v>
      </c>
      <c r="D47" s="4" t="s">
        <v>176</v>
      </c>
      <c r="E47" s="28" t="s">
        <v>664</v>
      </c>
    </row>
    <row r="48" spans="1:5" ht="12.75">
      <c r="A48" s="24" t="s">
        <v>496</v>
      </c>
      <c r="B48" s="4" t="s">
        <v>279</v>
      </c>
      <c r="C48" s="4" t="s">
        <v>260</v>
      </c>
      <c r="D48" s="4" t="s">
        <v>176</v>
      </c>
      <c r="E48" s="28" t="s">
        <v>665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A18:L18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G43" sqref="G43"/>
    </sheetView>
  </sheetViews>
  <sheetFormatPr defaultColWidth="9.125" defaultRowHeight="12.75"/>
  <cols>
    <col min="1" max="1" width="24.75390625" style="4" bestFit="1" customWidth="1"/>
    <col min="2" max="2" width="28.87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8.3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7.875" style="4" bestFit="1" customWidth="1"/>
    <col min="14" max="16384" width="9.125" style="3" customWidth="1"/>
  </cols>
  <sheetData>
    <row r="1" spans="1:13" s="2" customFormat="1" ht="28.5" customHeight="1">
      <c r="A1" s="44" t="s">
        <v>529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29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530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4" t="s">
        <v>532</v>
      </c>
      <c r="B6" s="14" t="s">
        <v>533</v>
      </c>
      <c r="C6" s="14" t="s">
        <v>534</v>
      </c>
      <c r="D6" s="14" t="str">
        <f>"0,9693"</f>
        <v>0,9693</v>
      </c>
      <c r="E6" s="14" t="s">
        <v>52</v>
      </c>
      <c r="F6" s="14" t="s">
        <v>53</v>
      </c>
      <c r="G6" s="15" t="s">
        <v>37</v>
      </c>
      <c r="H6" s="15" t="s">
        <v>39</v>
      </c>
      <c r="I6" s="16" t="s">
        <v>535</v>
      </c>
      <c r="J6" s="16"/>
      <c r="K6" s="14" t="str">
        <f>"90,0"</f>
        <v>90,0</v>
      </c>
      <c r="L6" s="15" t="str">
        <f>"89,8587"</f>
        <v>89,8587</v>
      </c>
      <c r="M6" s="14" t="s">
        <v>387</v>
      </c>
    </row>
    <row r="7" spans="1:13" ht="12.75">
      <c r="A7" s="20" t="s">
        <v>537</v>
      </c>
      <c r="B7" s="20" t="s">
        <v>538</v>
      </c>
      <c r="C7" s="20" t="s">
        <v>539</v>
      </c>
      <c r="D7" s="20" t="str">
        <f>"0,9864"</f>
        <v>0,9864</v>
      </c>
      <c r="E7" s="20" t="s">
        <v>540</v>
      </c>
      <c r="F7" s="20" t="s">
        <v>541</v>
      </c>
      <c r="G7" s="22" t="s">
        <v>44</v>
      </c>
      <c r="H7" s="22" t="s">
        <v>121</v>
      </c>
      <c r="I7" s="21"/>
      <c r="J7" s="21"/>
      <c r="K7" s="20" t="str">
        <f>"117,5"</f>
        <v>117,5</v>
      </c>
      <c r="L7" s="22" t="str">
        <f>"115,9020"</f>
        <v>115,9020</v>
      </c>
      <c r="M7" s="20" t="s">
        <v>542</v>
      </c>
    </row>
    <row r="8" spans="1:13" ht="12.75">
      <c r="A8" s="17" t="s">
        <v>544</v>
      </c>
      <c r="B8" s="17" t="s">
        <v>545</v>
      </c>
      <c r="C8" s="17" t="s">
        <v>546</v>
      </c>
      <c r="D8" s="17" t="str">
        <f>"0,9896"</f>
        <v>0,9896</v>
      </c>
      <c r="E8" s="17" t="s">
        <v>52</v>
      </c>
      <c r="F8" s="17" t="s">
        <v>53</v>
      </c>
      <c r="G8" s="19" t="s">
        <v>37</v>
      </c>
      <c r="H8" s="18" t="s">
        <v>39</v>
      </c>
      <c r="I8" s="18" t="s">
        <v>535</v>
      </c>
      <c r="J8" s="19"/>
      <c r="K8" s="17" t="str">
        <f>"102,5"</f>
        <v>102,5</v>
      </c>
      <c r="L8" s="18" t="str">
        <f>"101,4340"</f>
        <v>101,4340</v>
      </c>
      <c r="M8" s="17" t="s">
        <v>547</v>
      </c>
    </row>
    <row r="10" spans="1:12" ht="15">
      <c r="A10" s="47" t="s">
        <v>313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3" ht="12.75">
      <c r="A11" s="14" t="s">
        <v>549</v>
      </c>
      <c r="B11" s="14" t="s">
        <v>550</v>
      </c>
      <c r="C11" s="14" t="s">
        <v>551</v>
      </c>
      <c r="D11" s="14" t="str">
        <f>"0,8622"</f>
        <v>0,8622</v>
      </c>
      <c r="E11" s="14" t="s">
        <v>540</v>
      </c>
      <c r="F11" s="14" t="s">
        <v>541</v>
      </c>
      <c r="G11" s="15" t="s">
        <v>39</v>
      </c>
      <c r="H11" s="15" t="s">
        <v>129</v>
      </c>
      <c r="I11" s="15" t="s">
        <v>43</v>
      </c>
      <c r="J11" s="16"/>
      <c r="K11" s="14" t="str">
        <f>"100,0"</f>
        <v>100,0</v>
      </c>
      <c r="L11" s="15" t="str">
        <f>"86,2150"</f>
        <v>86,2150</v>
      </c>
      <c r="M11" s="14" t="s">
        <v>542</v>
      </c>
    </row>
    <row r="12" spans="1:13" ht="12.75">
      <c r="A12" s="17" t="s">
        <v>553</v>
      </c>
      <c r="B12" s="17" t="s">
        <v>554</v>
      </c>
      <c r="C12" s="17" t="s">
        <v>555</v>
      </c>
      <c r="D12" s="17" t="str">
        <f>"0,8794"</f>
        <v>0,8794</v>
      </c>
      <c r="E12" s="17" t="s">
        <v>540</v>
      </c>
      <c r="F12" s="17" t="s">
        <v>541</v>
      </c>
      <c r="G12" s="18" t="s">
        <v>37</v>
      </c>
      <c r="H12" s="19" t="s">
        <v>38</v>
      </c>
      <c r="I12" s="19" t="s">
        <v>38</v>
      </c>
      <c r="J12" s="19"/>
      <c r="K12" s="17" t="str">
        <f>"80,0"</f>
        <v>80,0</v>
      </c>
      <c r="L12" s="18" t="str">
        <f>"70,3520"</f>
        <v>70,3520</v>
      </c>
      <c r="M12" s="17" t="s">
        <v>542</v>
      </c>
    </row>
    <row r="14" spans="1:12" ht="15">
      <c r="A14" s="47" t="s">
        <v>70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1" t="s">
        <v>557</v>
      </c>
      <c r="B15" s="11" t="s">
        <v>558</v>
      </c>
      <c r="C15" s="11" t="s">
        <v>559</v>
      </c>
      <c r="D15" s="11" t="str">
        <f>"0,7852"</f>
        <v>0,7852</v>
      </c>
      <c r="E15" s="11" t="s">
        <v>52</v>
      </c>
      <c r="F15" s="11" t="s">
        <v>53</v>
      </c>
      <c r="G15" s="12" t="s">
        <v>54</v>
      </c>
      <c r="H15" s="13" t="s">
        <v>55</v>
      </c>
      <c r="I15" s="13"/>
      <c r="J15" s="13"/>
      <c r="K15" s="11" t="str">
        <f>"120,0"</f>
        <v>120,0</v>
      </c>
      <c r="L15" s="12" t="str">
        <f>"98,7468"</f>
        <v>98,7468</v>
      </c>
      <c r="M15" s="11" t="s">
        <v>560</v>
      </c>
    </row>
    <row r="17" spans="1:12" ht="15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 ht="12.75">
      <c r="A18" s="11" t="s">
        <v>562</v>
      </c>
      <c r="B18" s="11" t="s">
        <v>563</v>
      </c>
      <c r="C18" s="11" t="s">
        <v>323</v>
      </c>
      <c r="D18" s="11" t="str">
        <f>"0,7347"</f>
        <v>0,7347</v>
      </c>
      <c r="E18" s="11" t="s">
        <v>540</v>
      </c>
      <c r="F18" s="11" t="s">
        <v>541</v>
      </c>
      <c r="G18" s="12" t="s">
        <v>43</v>
      </c>
      <c r="H18" s="13" t="s">
        <v>45</v>
      </c>
      <c r="I18" s="13" t="s">
        <v>45</v>
      </c>
      <c r="J18" s="13"/>
      <c r="K18" s="11" t="str">
        <f>"100,0"</f>
        <v>100,0</v>
      </c>
      <c r="L18" s="12" t="str">
        <f>"75,7476"</f>
        <v>75,7476</v>
      </c>
      <c r="M18" s="11" t="s">
        <v>542</v>
      </c>
    </row>
    <row r="20" spans="1:12" ht="15">
      <c r="A20" s="47" t="s">
        <v>313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 ht="12.75">
      <c r="A21" s="11" t="s">
        <v>565</v>
      </c>
      <c r="B21" s="11" t="s">
        <v>566</v>
      </c>
      <c r="C21" s="11" t="s">
        <v>567</v>
      </c>
      <c r="D21" s="11" t="str">
        <f>"0,8128"</f>
        <v>0,8128</v>
      </c>
      <c r="E21" s="11" t="s">
        <v>52</v>
      </c>
      <c r="F21" s="11" t="s">
        <v>53</v>
      </c>
      <c r="G21" s="12" t="s">
        <v>95</v>
      </c>
      <c r="H21" s="12" t="s">
        <v>55</v>
      </c>
      <c r="I21" s="12" t="s">
        <v>76</v>
      </c>
      <c r="J21" s="13"/>
      <c r="K21" s="11" t="str">
        <f>"135,0"</f>
        <v>135,0</v>
      </c>
      <c r="L21" s="12" t="str">
        <f>"109,7280"</f>
        <v>109,7280</v>
      </c>
      <c r="M21" s="11" t="s">
        <v>387</v>
      </c>
    </row>
    <row r="23" spans="1:12" ht="15">
      <c r="A23" s="47" t="s">
        <v>70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 ht="12.75">
      <c r="A24" s="11" t="s">
        <v>569</v>
      </c>
      <c r="B24" s="11" t="s">
        <v>570</v>
      </c>
      <c r="C24" s="11" t="s">
        <v>571</v>
      </c>
      <c r="D24" s="11" t="str">
        <f>"0,7902"</f>
        <v>0,7902</v>
      </c>
      <c r="E24" s="11" t="s">
        <v>108</v>
      </c>
      <c r="F24" s="11" t="s">
        <v>572</v>
      </c>
      <c r="G24" s="12" t="s">
        <v>110</v>
      </c>
      <c r="H24" s="12" t="s">
        <v>93</v>
      </c>
      <c r="I24" s="13"/>
      <c r="J24" s="13"/>
      <c r="K24" s="11" t="str">
        <f>"165,0"</f>
        <v>165,0</v>
      </c>
      <c r="L24" s="12" t="str">
        <f>"131,6868"</f>
        <v>131,6868</v>
      </c>
      <c r="M24" s="11" t="s">
        <v>116</v>
      </c>
    </row>
    <row r="26" spans="1:12" ht="15">
      <c r="A26" s="47" t="s">
        <v>30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ht="12.75">
      <c r="A27" s="11" t="s">
        <v>105</v>
      </c>
      <c r="B27" s="11" t="s">
        <v>106</v>
      </c>
      <c r="C27" s="11" t="s">
        <v>107</v>
      </c>
      <c r="D27" s="11" t="str">
        <f>"0,6805"</f>
        <v>0,6805</v>
      </c>
      <c r="E27" s="11" t="s">
        <v>108</v>
      </c>
      <c r="F27" s="11" t="s">
        <v>109</v>
      </c>
      <c r="G27" s="12" t="s">
        <v>113</v>
      </c>
      <c r="H27" s="12" t="s">
        <v>114</v>
      </c>
      <c r="I27" s="12" t="s">
        <v>115</v>
      </c>
      <c r="J27" s="13"/>
      <c r="K27" s="11" t="str">
        <f>"230,0"</f>
        <v>230,0</v>
      </c>
      <c r="L27" s="12" t="str">
        <f>"158,0801"</f>
        <v>158,0801</v>
      </c>
      <c r="M27" s="11" t="s">
        <v>116</v>
      </c>
    </row>
    <row r="29" spans="1:12" ht="15">
      <c r="A29" s="47" t="s">
        <v>137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2.75">
      <c r="A30" s="14" t="s">
        <v>574</v>
      </c>
      <c r="B30" s="14" t="s">
        <v>575</v>
      </c>
      <c r="C30" s="14" t="s">
        <v>576</v>
      </c>
      <c r="D30" s="14" t="str">
        <f>"0,6329"</f>
        <v>0,6329</v>
      </c>
      <c r="E30" s="14" t="s">
        <v>540</v>
      </c>
      <c r="F30" s="14" t="s">
        <v>541</v>
      </c>
      <c r="G30" s="16" t="s">
        <v>110</v>
      </c>
      <c r="H30" s="15" t="s">
        <v>94</v>
      </c>
      <c r="I30" s="15" t="s">
        <v>96</v>
      </c>
      <c r="J30" s="16"/>
      <c r="K30" s="14" t="str">
        <f>"180,0"</f>
        <v>180,0</v>
      </c>
      <c r="L30" s="15" t="str">
        <f>"128,7319"</f>
        <v>128,7319</v>
      </c>
      <c r="M30" s="14" t="s">
        <v>542</v>
      </c>
    </row>
    <row r="31" spans="1:13" ht="12.75">
      <c r="A31" s="17" t="s">
        <v>578</v>
      </c>
      <c r="B31" s="17" t="s">
        <v>579</v>
      </c>
      <c r="C31" s="17" t="s">
        <v>580</v>
      </c>
      <c r="D31" s="17" t="str">
        <f>"0,6209"</f>
        <v>0,6209</v>
      </c>
      <c r="E31" s="17" t="s">
        <v>81</v>
      </c>
      <c r="F31" s="17" t="s">
        <v>318</v>
      </c>
      <c r="G31" s="18" t="s">
        <v>96</v>
      </c>
      <c r="H31" s="19" t="s">
        <v>130</v>
      </c>
      <c r="I31" s="19"/>
      <c r="J31" s="19"/>
      <c r="K31" s="17" t="str">
        <f>"180,0"</f>
        <v>180,0</v>
      </c>
      <c r="L31" s="18" t="str">
        <f>"116,2325"</f>
        <v>116,2325</v>
      </c>
      <c r="M31" s="17" t="s">
        <v>319</v>
      </c>
    </row>
    <row r="33" spans="1:12" ht="15">
      <c r="A33" s="47" t="s">
        <v>47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 ht="12.75">
      <c r="A34" s="14" t="s">
        <v>582</v>
      </c>
      <c r="B34" s="14" t="s">
        <v>583</v>
      </c>
      <c r="C34" s="14" t="s">
        <v>584</v>
      </c>
      <c r="D34" s="14" t="str">
        <f>"0,5910"</f>
        <v>0,5910</v>
      </c>
      <c r="E34" s="14" t="s">
        <v>317</v>
      </c>
      <c r="F34" s="14" t="s">
        <v>318</v>
      </c>
      <c r="G34" s="15" t="s">
        <v>288</v>
      </c>
      <c r="H34" s="15" t="s">
        <v>207</v>
      </c>
      <c r="I34" s="15" t="s">
        <v>172</v>
      </c>
      <c r="J34" s="16"/>
      <c r="K34" s="14" t="str">
        <f>"235,0"</f>
        <v>235,0</v>
      </c>
      <c r="L34" s="15" t="str">
        <f>"143,0516"</f>
        <v>143,0516</v>
      </c>
      <c r="M34" s="14" t="s">
        <v>319</v>
      </c>
    </row>
    <row r="35" spans="1:13" ht="12.75">
      <c r="A35" s="20" t="s">
        <v>399</v>
      </c>
      <c r="B35" s="20" t="s">
        <v>400</v>
      </c>
      <c r="C35" s="20" t="s">
        <v>401</v>
      </c>
      <c r="D35" s="20" t="str">
        <f>"0,5901"</f>
        <v>0,5901</v>
      </c>
      <c r="E35" s="20" t="s">
        <v>402</v>
      </c>
      <c r="F35" s="20" t="s">
        <v>53</v>
      </c>
      <c r="G35" s="22" t="s">
        <v>207</v>
      </c>
      <c r="H35" s="22" t="s">
        <v>152</v>
      </c>
      <c r="I35" s="22" t="s">
        <v>227</v>
      </c>
      <c r="J35" s="21"/>
      <c r="K35" s="20" t="str">
        <f>"257,5"</f>
        <v>257,5</v>
      </c>
      <c r="L35" s="22" t="str">
        <f>"151,9507"</f>
        <v>151,9507</v>
      </c>
      <c r="M35" s="20" t="s">
        <v>404</v>
      </c>
    </row>
    <row r="36" spans="1:13" ht="12.75">
      <c r="A36" s="20" t="s">
        <v>586</v>
      </c>
      <c r="B36" s="20" t="s">
        <v>587</v>
      </c>
      <c r="C36" s="20" t="s">
        <v>588</v>
      </c>
      <c r="D36" s="20" t="str">
        <f>"0,6018"</f>
        <v>0,6018</v>
      </c>
      <c r="E36" s="20" t="s">
        <v>52</v>
      </c>
      <c r="F36" s="20" t="s">
        <v>53</v>
      </c>
      <c r="G36" s="22" t="s">
        <v>57</v>
      </c>
      <c r="H36" s="22" t="s">
        <v>85</v>
      </c>
      <c r="I36" s="22" t="s">
        <v>147</v>
      </c>
      <c r="J36" s="21"/>
      <c r="K36" s="20" t="str">
        <f>"142,5"</f>
        <v>142,5</v>
      </c>
      <c r="L36" s="22" t="str">
        <f>"85,7565"</f>
        <v>85,7565</v>
      </c>
      <c r="M36" s="20" t="s">
        <v>589</v>
      </c>
    </row>
    <row r="37" spans="1:13" ht="12.75">
      <c r="A37" s="17" t="s">
        <v>591</v>
      </c>
      <c r="B37" s="17" t="s">
        <v>592</v>
      </c>
      <c r="C37" s="17" t="s">
        <v>593</v>
      </c>
      <c r="D37" s="17" t="str">
        <f>"0,5869"</f>
        <v>0,5869</v>
      </c>
      <c r="E37" s="17" t="s">
        <v>594</v>
      </c>
      <c r="F37" s="17" t="s">
        <v>53</v>
      </c>
      <c r="G37" s="18" t="s">
        <v>115</v>
      </c>
      <c r="H37" s="18" t="s">
        <v>595</v>
      </c>
      <c r="I37" s="19" t="s">
        <v>174</v>
      </c>
      <c r="J37" s="19"/>
      <c r="K37" s="17" t="str">
        <f>"237,5"</f>
        <v>237,5</v>
      </c>
      <c r="L37" s="18" t="str">
        <f>"139,8069"</f>
        <v>139,8069</v>
      </c>
      <c r="M37" s="17" t="s">
        <v>159</v>
      </c>
    </row>
    <row r="39" spans="1:12" ht="15">
      <c r="A39" s="47" t="s">
        <v>160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14" t="s">
        <v>597</v>
      </c>
      <c r="B40" s="14" t="s">
        <v>598</v>
      </c>
      <c r="C40" s="14" t="s">
        <v>599</v>
      </c>
      <c r="D40" s="14" t="str">
        <f>"0,5619"</f>
        <v>0,5619</v>
      </c>
      <c r="E40" s="14" t="s">
        <v>324</v>
      </c>
      <c r="F40" s="14" t="s">
        <v>409</v>
      </c>
      <c r="G40" s="16" t="s">
        <v>113</v>
      </c>
      <c r="H40" s="15" t="s">
        <v>114</v>
      </c>
      <c r="I40" s="16" t="s">
        <v>207</v>
      </c>
      <c r="J40" s="16"/>
      <c r="K40" s="14" t="str">
        <f>"220,0"</f>
        <v>220,0</v>
      </c>
      <c r="L40" s="15" t="str">
        <f>"127,3265"</f>
        <v>127,3265</v>
      </c>
      <c r="M40" s="14" t="s">
        <v>600</v>
      </c>
    </row>
    <row r="41" spans="1:13" ht="12.75">
      <c r="A41" s="20" t="s">
        <v>602</v>
      </c>
      <c r="B41" s="20" t="s">
        <v>603</v>
      </c>
      <c r="C41" s="20" t="s">
        <v>604</v>
      </c>
      <c r="D41" s="20" t="str">
        <f>"0,5645"</f>
        <v>0,5645</v>
      </c>
      <c r="E41" s="20" t="s">
        <v>64</v>
      </c>
      <c r="F41" s="20" t="s">
        <v>65</v>
      </c>
      <c r="G41" s="22" t="s">
        <v>152</v>
      </c>
      <c r="H41" s="22" t="s">
        <v>290</v>
      </c>
      <c r="I41" s="22" t="s">
        <v>175</v>
      </c>
      <c r="J41" s="21"/>
      <c r="K41" s="20" t="str">
        <f>"260,0"</f>
        <v>260,0</v>
      </c>
      <c r="L41" s="22" t="str">
        <f>"146,7700"</f>
        <v>146,7700</v>
      </c>
      <c r="M41" s="20" t="s">
        <v>69</v>
      </c>
    </row>
    <row r="42" spans="1:13" ht="12.75">
      <c r="A42" s="20" t="s">
        <v>421</v>
      </c>
      <c r="B42" s="20" t="s">
        <v>422</v>
      </c>
      <c r="C42" s="20" t="s">
        <v>423</v>
      </c>
      <c r="D42" s="20" t="str">
        <f>"0,5613"</f>
        <v>0,5613</v>
      </c>
      <c r="E42" s="20" t="s">
        <v>424</v>
      </c>
      <c r="F42" s="20" t="s">
        <v>53</v>
      </c>
      <c r="G42" s="22" t="s">
        <v>115</v>
      </c>
      <c r="H42" s="22" t="s">
        <v>152</v>
      </c>
      <c r="I42" s="21" t="s">
        <v>290</v>
      </c>
      <c r="J42" s="21"/>
      <c r="K42" s="20" t="str">
        <f>"240,0"</f>
        <v>240,0</v>
      </c>
      <c r="L42" s="22" t="str">
        <f>"134,7120"</f>
        <v>134,7120</v>
      </c>
      <c r="M42" s="20" t="s">
        <v>425</v>
      </c>
    </row>
    <row r="43" spans="1:13" ht="12.75">
      <c r="A43" s="17" t="s">
        <v>605</v>
      </c>
      <c r="B43" s="17" t="s">
        <v>185</v>
      </c>
      <c r="C43" s="17" t="s">
        <v>186</v>
      </c>
      <c r="D43" s="17" t="str">
        <f>"0,5543"</f>
        <v>0,5543</v>
      </c>
      <c r="E43" s="17" t="s">
        <v>187</v>
      </c>
      <c r="F43" s="17" t="s">
        <v>53</v>
      </c>
      <c r="G43" s="19" t="s">
        <v>98</v>
      </c>
      <c r="H43" s="19"/>
      <c r="I43" s="19"/>
      <c r="J43" s="19"/>
      <c r="K43" s="17" t="str">
        <f>"0.00"</f>
        <v>0.00</v>
      </c>
      <c r="L43" s="18" t="str">
        <f>"0,0000"</f>
        <v>0,0000</v>
      </c>
      <c r="M43" s="17" t="s">
        <v>189</v>
      </c>
    </row>
    <row r="45" ht="15">
      <c r="E45" s="9" t="s">
        <v>14</v>
      </c>
    </row>
    <row r="46" ht="15">
      <c r="E46" s="9" t="s">
        <v>15</v>
      </c>
    </row>
    <row r="47" ht="15">
      <c r="E47" s="9" t="s">
        <v>16</v>
      </c>
    </row>
    <row r="48" ht="15">
      <c r="E48" s="9" t="s">
        <v>17</v>
      </c>
    </row>
    <row r="49" ht="15">
      <c r="E49" s="9" t="s">
        <v>17</v>
      </c>
    </row>
    <row r="50" ht="15">
      <c r="E50" s="9" t="s">
        <v>18</v>
      </c>
    </row>
    <row r="51" ht="15">
      <c r="E51" s="9"/>
    </row>
    <row r="53" spans="1:2" ht="18">
      <c r="A53" s="10" t="s">
        <v>19</v>
      </c>
      <c r="B53" s="10"/>
    </row>
    <row r="54" spans="1:2" ht="15">
      <c r="A54" s="23" t="s">
        <v>216</v>
      </c>
      <c r="B54" s="23"/>
    </row>
    <row r="55" spans="1:2" ht="14.25">
      <c r="A55" s="25"/>
      <c r="B55" s="26" t="s">
        <v>606</v>
      </c>
    </row>
    <row r="56" spans="1:5" ht="15">
      <c r="A56" s="27" t="s">
        <v>218</v>
      </c>
      <c r="B56" s="27" t="s">
        <v>219</v>
      </c>
      <c r="C56" s="27" t="s">
        <v>220</v>
      </c>
      <c r="D56" s="27" t="s">
        <v>221</v>
      </c>
      <c r="E56" s="27" t="s">
        <v>222</v>
      </c>
    </row>
    <row r="57" spans="1:5" ht="12.75">
      <c r="A57" s="24" t="s">
        <v>531</v>
      </c>
      <c r="B57" s="4" t="s">
        <v>246</v>
      </c>
      <c r="C57" s="4" t="s">
        <v>607</v>
      </c>
      <c r="D57" s="4" t="s">
        <v>39</v>
      </c>
      <c r="E57" s="28" t="s">
        <v>608</v>
      </c>
    </row>
    <row r="59" spans="1:2" ht="14.25">
      <c r="A59" s="25"/>
      <c r="B59" s="26" t="s">
        <v>217</v>
      </c>
    </row>
    <row r="60" spans="1:5" ht="15">
      <c r="A60" s="27" t="s">
        <v>218</v>
      </c>
      <c r="B60" s="27" t="s">
        <v>219</v>
      </c>
      <c r="C60" s="27" t="s">
        <v>220</v>
      </c>
      <c r="D60" s="27" t="s">
        <v>221</v>
      </c>
      <c r="E60" s="27" t="s">
        <v>222</v>
      </c>
    </row>
    <row r="61" spans="1:5" ht="12.75">
      <c r="A61" s="24" t="s">
        <v>536</v>
      </c>
      <c r="B61" s="4" t="s">
        <v>217</v>
      </c>
      <c r="C61" s="4" t="s">
        <v>607</v>
      </c>
      <c r="D61" s="4" t="s">
        <v>121</v>
      </c>
      <c r="E61" s="28" t="s">
        <v>609</v>
      </c>
    </row>
    <row r="62" spans="1:5" ht="12.75">
      <c r="A62" s="24" t="s">
        <v>543</v>
      </c>
      <c r="B62" s="4" t="s">
        <v>217</v>
      </c>
      <c r="C62" s="4" t="s">
        <v>607</v>
      </c>
      <c r="D62" s="4" t="s">
        <v>535</v>
      </c>
      <c r="E62" s="28" t="s">
        <v>610</v>
      </c>
    </row>
    <row r="63" spans="1:5" ht="12.75">
      <c r="A63" s="24" t="s">
        <v>548</v>
      </c>
      <c r="B63" s="4" t="s">
        <v>217</v>
      </c>
      <c r="C63" s="4" t="s">
        <v>611</v>
      </c>
      <c r="D63" s="4" t="s">
        <v>43</v>
      </c>
      <c r="E63" s="28" t="s">
        <v>612</v>
      </c>
    </row>
    <row r="65" spans="1:2" ht="14.25">
      <c r="A65" s="25"/>
      <c r="B65" s="26" t="s">
        <v>278</v>
      </c>
    </row>
    <row r="66" spans="1:5" ht="15">
      <c r="A66" s="27" t="s">
        <v>218</v>
      </c>
      <c r="B66" s="27" t="s">
        <v>219</v>
      </c>
      <c r="C66" s="27" t="s">
        <v>220</v>
      </c>
      <c r="D66" s="27" t="s">
        <v>221</v>
      </c>
      <c r="E66" s="27" t="s">
        <v>222</v>
      </c>
    </row>
    <row r="67" spans="1:5" ht="12.75">
      <c r="A67" s="24" t="s">
        <v>556</v>
      </c>
      <c r="B67" s="4" t="s">
        <v>469</v>
      </c>
      <c r="C67" s="4" t="s">
        <v>237</v>
      </c>
      <c r="D67" s="4" t="s">
        <v>54</v>
      </c>
      <c r="E67" s="28" t="s">
        <v>613</v>
      </c>
    </row>
    <row r="68" spans="1:5" ht="12.75">
      <c r="A68" s="24" t="s">
        <v>561</v>
      </c>
      <c r="B68" s="4" t="s">
        <v>279</v>
      </c>
      <c r="C68" s="4" t="s">
        <v>226</v>
      </c>
      <c r="D68" s="4" t="s">
        <v>43</v>
      </c>
      <c r="E68" s="28" t="s">
        <v>614</v>
      </c>
    </row>
    <row r="69" spans="1:5" ht="12.75">
      <c r="A69" s="24" t="s">
        <v>552</v>
      </c>
      <c r="B69" s="4" t="s">
        <v>279</v>
      </c>
      <c r="C69" s="4" t="s">
        <v>611</v>
      </c>
      <c r="D69" s="4" t="s">
        <v>37</v>
      </c>
      <c r="E69" s="28" t="s">
        <v>615</v>
      </c>
    </row>
    <row r="72" spans="1:2" ht="15">
      <c r="A72" s="23" t="s">
        <v>229</v>
      </c>
      <c r="B72" s="23"/>
    </row>
    <row r="73" spans="1:2" ht="14.25">
      <c r="A73" s="25"/>
      <c r="B73" s="26" t="s">
        <v>230</v>
      </c>
    </row>
    <row r="74" spans="1:5" ht="15">
      <c r="A74" s="27" t="s">
        <v>218</v>
      </c>
      <c r="B74" s="27" t="s">
        <v>219</v>
      </c>
      <c r="C74" s="27" t="s">
        <v>220</v>
      </c>
      <c r="D74" s="27" t="s">
        <v>221</v>
      </c>
      <c r="E74" s="27" t="s">
        <v>222</v>
      </c>
    </row>
    <row r="75" spans="1:5" ht="12.75">
      <c r="A75" s="24" t="s">
        <v>573</v>
      </c>
      <c r="B75" s="4" t="s">
        <v>231</v>
      </c>
      <c r="C75" s="4" t="s">
        <v>234</v>
      </c>
      <c r="D75" s="4" t="s">
        <v>96</v>
      </c>
      <c r="E75" s="28" t="s">
        <v>616</v>
      </c>
    </row>
    <row r="76" spans="1:5" ht="12.75">
      <c r="A76" s="24" t="s">
        <v>577</v>
      </c>
      <c r="B76" s="4" t="s">
        <v>452</v>
      </c>
      <c r="C76" s="4" t="s">
        <v>234</v>
      </c>
      <c r="D76" s="4" t="s">
        <v>96</v>
      </c>
      <c r="E76" s="28" t="s">
        <v>617</v>
      </c>
    </row>
    <row r="78" spans="1:2" ht="14.25">
      <c r="A78" s="25"/>
      <c r="B78" s="26" t="s">
        <v>245</v>
      </c>
    </row>
    <row r="79" spans="1:5" ht="15">
      <c r="A79" s="27" t="s">
        <v>218</v>
      </c>
      <c r="B79" s="27" t="s">
        <v>219</v>
      </c>
      <c r="C79" s="27" t="s">
        <v>220</v>
      </c>
      <c r="D79" s="27" t="s">
        <v>221</v>
      </c>
      <c r="E79" s="27" t="s">
        <v>222</v>
      </c>
    </row>
    <row r="80" spans="1:5" ht="12.75">
      <c r="A80" s="24" t="s">
        <v>104</v>
      </c>
      <c r="B80" s="4" t="s">
        <v>246</v>
      </c>
      <c r="C80" s="4" t="s">
        <v>226</v>
      </c>
      <c r="D80" s="4" t="s">
        <v>115</v>
      </c>
      <c r="E80" s="28" t="s">
        <v>618</v>
      </c>
    </row>
    <row r="81" spans="1:5" ht="12.75">
      <c r="A81" s="24" t="s">
        <v>581</v>
      </c>
      <c r="B81" s="4" t="s">
        <v>246</v>
      </c>
      <c r="C81" s="4" t="s">
        <v>223</v>
      </c>
      <c r="D81" s="4" t="s">
        <v>172</v>
      </c>
      <c r="E81" s="28" t="s">
        <v>619</v>
      </c>
    </row>
    <row r="82" spans="1:5" ht="12.75">
      <c r="A82" s="24" t="s">
        <v>568</v>
      </c>
      <c r="B82" s="4" t="s">
        <v>246</v>
      </c>
      <c r="C82" s="4" t="s">
        <v>237</v>
      </c>
      <c r="D82" s="4" t="s">
        <v>93</v>
      </c>
      <c r="E82" s="28" t="s">
        <v>620</v>
      </c>
    </row>
    <row r="83" spans="1:5" ht="12.75">
      <c r="A83" s="24" t="s">
        <v>596</v>
      </c>
      <c r="B83" s="4" t="s">
        <v>246</v>
      </c>
      <c r="C83" s="4" t="s">
        <v>242</v>
      </c>
      <c r="D83" s="4" t="s">
        <v>114</v>
      </c>
      <c r="E83" s="28" t="s">
        <v>621</v>
      </c>
    </row>
    <row r="85" spans="1:2" ht="14.25">
      <c r="A85" s="25"/>
      <c r="B85" s="26" t="s">
        <v>217</v>
      </c>
    </row>
    <row r="86" spans="1:5" ht="15">
      <c r="A86" s="27" t="s">
        <v>218</v>
      </c>
      <c r="B86" s="27" t="s">
        <v>219</v>
      </c>
      <c r="C86" s="27" t="s">
        <v>220</v>
      </c>
      <c r="D86" s="27" t="s">
        <v>221</v>
      </c>
      <c r="E86" s="27" t="s">
        <v>222</v>
      </c>
    </row>
    <row r="87" spans="1:5" ht="12.75">
      <c r="A87" s="24" t="s">
        <v>398</v>
      </c>
      <c r="B87" s="4" t="s">
        <v>217</v>
      </c>
      <c r="C87" s="4" t="s">
        <v>223</v>
      </c>
      <c r="D87" s="4" t="s">
        <v>227</v>
      </c>
      <c r="E87" s="28" t="s">
        <v>622</v>
      </c>
    </row>
    <row r="88" spans="1:5" ht="12.75">
      <c r="A88" s="24" t="s">
        <v>601</v>
      </c>
      <c r="B88" s="4" t="s">
        <v>217</v>
      </c>
      <c r="C88" s="4" t="s">
        <v>242</v>
      </c>
      <c r="D88" s="4" t="s">
        <v>175</v>
      </c>
      <c r="E88" s="28" t="s">
        <v>623</v>
      </c>
    </row>
    <row r="89" spans="1:5" ht="12.75">
      <c r="A89" s="24" t="s">
        <v>420</v>
      </c>
      <c r="B89" s="4" t="s">
        <v>217</v>
      </c>
      <c r="C89" s="4" t="s">
        <v>242</v>
      </c>
      <c r="D89" s="4" t="s">
        <v>152</v>
      </c>
      <c r="E89" s="28" t="s">
        <v>624</v>
      </c>
    </row>
    <row r="90" spans="1:5" ht="12.75">
      <c r="A90" s="24" t="s">
        <v>564</v>
      </c>
      <c r="B90" s="4" t="s">
        <v>217</v>
      </c>
      <c r="C90" s="4" t="s">
        <v>611</v>
      </c>
      <c r="D90" s="4" t="s">
        <v>76</v>
      </c>
      <c r="E90" s="28" t="s">
        <v>625</v>
      </c>
    </row>
    <row r="91" spans="1:5" ht="12.75">
      <c r="A91" s="24" t="s">
        <v>585</v>
      </c>
      <c r="B91" s="4" t="s">
        <v>217</v>
      </c>
      <c r="C91" s="4" t="s">
        <v>223</v>
      </c>
      <c r="D91" s="4" t="s">
        <v>147</v>
      </c>
      <c r="E91" s="28" t="s">
        <v>626</v>
      </c>
    </row>
    <row r="93" spans="1:2" ht="14.25">
      <c r="A93" s="25"/>
      <c r="B93" s="26" t="s">
        <v>278</v>
      </c>
    </row>
    <row r="94" spans="1:5" ht="15">
      <c r="A94" s="27" t="s">
        <v>218</v>
      </c>
      <c r="B94" s="27" t="s">
        <v>219</v>
      </c>
      <c r="C94" s="27" t="s">
        <v>220</v>
      </c>
      <c r="D94" s="27" t="s">
        <v>221</v>
      </c>
      <c r="E94" s="27" t="s">
        <v>222</v>
      </c>
    </row>
    <row r="95" spans="1:5" ht="12.75">
      <c r="A95" s="24" t="s">
        <v>590</v>
      </c>
      <c r="B95" s="4" t="s">
        <v>279</v>
      </c>
      <c r="C95" s="4" t="s">
        <v>223</v>
      </c>
      <c r="D95" s="4" t="s">
        <v>595</v>
      </c>
      <c r="E95" s="28" t="s">
        <v>627</v>
      </c>
    </row>
  </sheetData>
  <sheetProtection/>
  <mergeCells count="21"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  <mergeCell ref="A39:L39"/>
    <mergeCell ref="A17:L17"/>
    <mergeCell ref="A20:L20"/>
    <mergeCell ref="A23:L23"/>
    <mergeCell ref="A26:L26"/>
    <mergeCell ref="A29:L29"/>
    <mergeCell ref="A33:L3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8.7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522</v>
      </c>
      <c r="B6" s="11" t="s">
        <v>523</v>
      </c>
      <c r="C6" s="11" t="s">
        <v>34</v>
      </c>
      <c r="D6" s="11" t="str">
        <f>"0,7031"</f>
        <v>0,7031</v>
      </c>
      <c r="E6" s="11" t="s">
        <v>324</v>
      </c>
      <c r="F6" s="11" t="s">
        <v>325</v>
      </c>
      <c r="G6" s="12" t="s">
        <v>111</v>
      </c>
      <c r="H6" s="12" t="s">
        <v>96</v>
      </c>
      <c r="I6" s="13" t="s">
        <v>130</v>
      </c>
      <c r="J6" s="13"/>
      <c r="K6" s="11" t="str">
        <f>"180,0"</f>
        <v>180,0</v>
      </c>
      <c r="L6" s="12" t="str">
        <f>"201,2272"</f>
        <v>201,2272</v>
      </c>
      <c r="M6" s="11" t="s">
        <v>159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229</v>
      </c>
      <c r="B17" s="23"/>
    </row>
    <row r="18" spans="1:2" ht="14.25">
      <c r="A18" s="25"/>
      <c r="B18" s="26" t="s">
        <v>278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521</v>
      </c>
      <c r="B20" s="4" t="s">
        <v>351</v>
      </c>
      <c r="C20" s="4" t="s">
        <v>226</v>
      </c>
      <c r="D20" s="4" t="s">
        <v>96</v>
      </c>
      <c r="E20" s="28" t="s">
        <v>524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4.1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2.75390625" style="4" bestFit="1" customWidth="1"/>
    <col min="14" max="16384" width="9.125" style="3" customWidth="1"/>
  </cols>
  <sheetData>
    <row r="1" spans="1:13" s="2" customFormat="1" ht="28.5" customHeight="1">
      <c r="A1" s="44" t="s">
        <v>515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202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439</v>
      </c>
      <c r="B6" s="11" t="s">
        <v>440</v>
      </c>
      <c r="C6" s="11" t="s">
        <v>441</v>
      </c>
      <c r="D6" s="11" t="str">
        <f>"0,5240"</f>
        <v>0,5240</v>
      </c>
      <c r="E6" s="11" t="s">
        <v>442</v>
      </c>
      <c r="F6" s="11" t="s">
        <v>170</v>
      </c>
      <c r="G6" s="12" t="s">
        <v>516</v>
      </c>
      <c r="H6" s="12" t="s">
        <v>517</v>
      </c>
      <c r="I6" s="12" t="s">
        <v>518</v>
      </c>
      <c r="J6" s="13"/>
      <c r="K6" s="11" t="str">
        <f>"307,5"</f>
        <v>307,5</v>
      </c>
      <c r="L6" s="12" t="str">
        <f>"161,1300"</f>
        <v>161,1300</v>
      </c>
      <c r="M6" s="11" t="s">
        <v>444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229</v>
      </c>
      <c r="B17" s="23"/>
    </row>
    <row r="18" spans="1:2" ht="14.25">
      <c r="A18" s="25"/>
      <c r="B18" s="26" t="s">
        <v>217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438</v>
      </c>
      <c r="B20" s="4" t="s">
        <v>217</v>
      </c>
      <c r="C20" s="4" t="s">
        <v>260</v>
      </c>
      <c r="D20" s="4" t="s">
        <v>518</v>
      </c>
      <c r="E20" s="28" t="s">
        <v>519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2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9.1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507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509</v>
      </c>
      <c r="B6" s="11" t="s">
        <v>510</v>
      </c>
      <c r="C6" s="11" t="s">
        <v>401</v>
      </c>
      <c r="D6" s="11" t="str">
        <f>"0,5901"</f>
        <v>0,5901</v>
      </c>
      <c r="E6" s="11" t="s">
        <v>52</v>
      </c>
      <c r="F6" s="11" t="s">
        <v>53</v>
      </c>
      <c r="G6" s="12" t="s">
        <v>115</v>
      </c>
      <c r="H6" s="12" t="s">
        <v>511</v>
      </c>
      <c r="I6" s="12" t="s">
        <v>512</v>
      </c>
      <c r="J6" s="13"/>
      <c r="K6" s="11" t="str">
        <f>"252,5"</f>
        <v>252,5</v>
      </c>
      <c r="L6" s="12" t="str">
        <f>"149,0002"</f>
        <v>149,0002</v>
      </c>
      <c r="M6" s="11" t="s">
        <v>159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229</v>
      </c>
      <c r="B17" s="23"/>
    </row>
    <row r="18" spans="1:2" ht="14.25">
      <c r="A18" s="25"/>
      <c r="B18" s="26" t="s">
        <v>217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508</v>
      </c>
      <c r="B20" s="4" t="s">
        <v>217</v>
      </c>
      <c r="C20" s="4" t="s">
        <v>223</v>
      </c>
      <c r="D20" s="4" t="s">
        <v>512</v>
      </c>
      <c r="E20" s="28" t="s">
        <v>513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7.8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44" t="s">
        <v>472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474</v>
      </c>
      <c r="B6" s="11" t="s">
        <v>475</v>
      </c>
      <c r="C6" s="11" t="s">
        <v>476</v>
      </c>
      <c r="D6" s="11" t="str">
        <f>"0,5897"</f>
        <v>0,5897</v>
      </c>
      <c r="E6" s="11" t="s">
        <v>477</v>
      </c>
      <c r="F6" s="11" t="s">
        <v>53</v>
      </c>
      <c r="G6" s="12" t="s">
        <v>92</v>
      </c>
      <c r="H6" s="12" t="s">
        <v>93</v>
      </c>
      <c r="I6" s="13" t="s">
        <v>94</v>
      </c>
      <c r="J6" s="13"/>
      <c r="K6" s="11" t="str">
        <f>"165,0"</f>
        <v>165,0</v>
      </c>
      <c r="L6" s="12" t="str">
        <f>"99,2465"</f>
        <v>99,2465</v>
      </c>
      <c r="M6" s="11" t="s">
        <v>159</v>
      </c>
    </row>
    <row r="8" spans="1:12" ht="15">
      <c r="A8" s="47" t="s">
        <v>193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4" t="s">
        <v>479</v>
      </c>
      <c r="B9" s="14" t="s">
        <v>480</v>
      </c>
      <c r="C9" s="14" t="s">
        <v>481</v>
      </c>
      <c r="D9" s="14" t="str">
        <f>"0,5417"</f>
        <v>0,5417</v>
      </c>
      <c r="E9" s="14" t="s">
        <v>482</v>
      </c>
      <c r="F9" s="14" t="s">
        <v>483</v>
      </c>
      <c r="G9" s="15" t="s">
        <v>94</v>
      </c>
      <c r="H9" s="15" t="s">
        <v>111</v>
      </c>
      <c r="I9" s="15" t="s">
        <v>200</v>
      </c>
      <c r="J9" s="16"/>
      <c r="K9" s="14" t="str">
        <f>"177,5"</f>
        <v>177,5</v>
      </c>
      <c r="L9" s="15" t="str">
        <f>"96,1518"</f>
        <v>96,1518</v>
      </c>
      <c r="M9" s="14" t="s">
        <v>159</v>
      </c>
    </row>
    <row r="10" spans="1:13" ht="12.75">
      <c r="A10" s="17" t="s">
        <v>485</v>
      </c>
      <c r="B10" s="17" t="s">
        <v>486</v>
      </c>
      <c r="C10" s="17" t="s">
        <v>487</v>
      </c>
      <c r="D10" s="17" t="str">
        <f>"0,5384"</f>
        <v>0,5384</v>
      </c>
      <c r="E10" s="17" t="s">
        <v>52</v>
      </c>
      <c r="F10" s="17" t="s">
        <v>53</v>
      </c>
      <c r="G10" s="18" t="s">
        <v>374</v>
      </c>
      <c r="H10" s="19" t="s">
        <v>110</v>
      </c>
      <c r="I10" s="19" t="s">
        <v>110</v>
      </c>
      <c r="J10" s="19"/>
      <c r="K10" s="17" t="str">
        <f>"145,0"</f>
        <v>145,0</v>
      </c>
      <c r="L10" s="18" t="str">
        <f>"78,0680"</f>
        <v>78,0680</v>
      </c>
      <c r="M10" s="17" t="s">
        <v>488</v>
      </c>
    </row>
    <row r="12" spans="1:12" ht="15">
      <c r="A12" s="47" t="s">
        <v>202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3" ht="12.75">
      <c r="A13" s="14" t="s">
        <v>490</v>
      </c>
      <c r="B13" s="14" t="s">
        <v>491</v>
      </c>
      <c r="C13" s="14" t="s">
        <v>492</v>
      </c>
      <c r="D13" s="14" t="str">
        <f>"0,5210"</f>
        <v>0,5210</v>
      </c>
      <c r="E13" s="14" t="s">
        <v>493</v>
      </c>
      <c r="F13" s="14" t="s">
        <v>494</v>
      </c>
      <c r="G13" s="15" t="s">
        <v>96</v>
      </c>
      <c r="H13" s="15" t="s">
        <v>142</v>
      </c>
      <c r="I13" s="15" t="s">
        <v>98</v>
      </c>
      <c r="J13" s="16"/>
      <c r="K13" s="14" t="str">
        <f>"200,0"</f>
        <v>200,0</v>
      </c>
      <c r="L13" s="15" t="str">
        <f>"104,2000"</f>
        <v>104,2000</v>
      </c>
      <c r="M13" s="14" t="s">
        <v>495</v>
      </c>
    </row>
    <row r="14" spans="1:13" ht="12.75">
      <c r="A14" s="17" t="s">
        <v>497</v>
      </c>
      <c r="B14" s="17" t="s">
        <v>498</v>
      </c>
      <c r="C14" s="17" t="s">
        <v>499</v>
      </c>
      <c r="D14" s="17" t="str">
        <f>"0,5249"</f>
        <v>0,5249</v>
      </c>
      <c r="E14" s="17" t="s">
        <v>500</v>
      </c>
      <c r="F14" s="17" t="s">
        <v>53</v>
      </c>
      <c r="G14" s="18" t="s">
        <v>94</v>
      </c>
      <c r="H14" s="19" t="s">
        <v>96</v>
      </c>
      <c r="I14" s="19" t="s">
        <v>96</v>
      </c>
      <c r="J14" s="19"/>
      <c r="K14" s="17" t="str">
        <f>"170,0"</f>
        <v>170,0</v>
      </c>
      <c r="L14" s="18" t="str">
        <f>"89,2330"</f>
        <v>89,2330</v>
      </c>
      <c r="M14" s="17" t="s">
        <v>501</v>
      </c>
    </row>
    <row r="16" ht="15">
      <c r="E16" s="9" t="s">
        <v>14</v>
      </c>
    </row>
    <row r="17" ht="15">
      <c r="E17" s="9" t="s">
        <v>15</v>
      </c>
    </row>
    <row r="18" ht="15">
      <c r="E18" s="9" t="s">
        <v>16</v>
      </c>
    </row>
    <row r="19" ht="15">
      <c r="E19" s="9" t="s">
        <v>17</v>
      </c>
    </row>
    <row r="20" ht="15">
      <c r="E20" s="9" t="s">
        <v>17</v>
      </c>
    </row>
    <row r="21" ht="15">
      <c r="E21" s="9" t="s">
        <v>18</v>
      </c>
    </row>
    <row r="22" ht="15">
      <c r="E22" s="9"/>
    </row>
    <row r="24" spans="1:2" ht="18">
      <c r="A24" s="10" t="s">
        <v>19</v>
      </c>
      <c r="B24" s="10"/>
    </row>
    <row r="25" spans="1:2" ht="15">
      <c r="A25" s="23" t="s">
        <v>229</v>
      </c>
      <c r="B25" s="23"/>
    </row>
    <row r="26" spans="1:2" ht="14.25">
      <c r="A26" s="25"/>
      <c r="B26" s="26" t="s">
        <v>245</v>
      </c>
    </row>
    <row r="27" spans="1:5" ht="15">
      <c r="A27" s="27" t="s">
        <v>218</v>
      </c>
      <c r="B27" s="27" t="s">
        <v>219</v>
      </c>
      <c r="C27" s="27" t="s">
        <v>220</v>
      </c>
      <c r="D27" s="27" t="s">
        <v>221</v>
      </c>
      <c r="E27" s="27" t="s">
        <v>222</v>
      </c>
    </row>
    <row r="28" spans="1:5" ht="12.75">
      <c r="A28" s="24" t="s">
        <v>489</v>
      </c>
      <c r="B28" s="4" t="s">
        <v>246</v>
      </c>
      <c r="C28" s="4" t="s">
        <v>260</v>
      </c>
      <c r="D28" s="4" t="s">
        <v>98</v>
      </c>
      <c r="E28" s="28" t="s">
        <v>502</v>
      </c>
    </row>
    <row r="29" spans="1:5" ht="12.75">
      <c r="A29" s="24" t="s">
        <v>473</v>
      </c>
      <c r="B29" s="4" t="s">
        <v>246</v>
      </c>
      <c r="C29" s="4" t="s">
        <v>223</v>
      </c>
      <c r="D29" s="4" t="s">
        <v>93</v>
      </c>
      <c r="E29" s="28" t="s">
        <v>503</v>
      </c>
    </row>
    <row r="31" spans="1:2" ht="14.25">
      <c r="A31" s="25"/>
      <c r="B31" s="26" t="s">
        <v>217</v>
      </c>
    </row>
    <row r="32" spans="1:5" ht="15">
      <c r="A32" s="27" t="s">
        <v>218</v>
      </c>
      <c r="B32" s="27" t="s">
        <v>219</v>
      </c>
      <c r="C32" s="27" t="s">
        <v>220</v>
      </c>
      <c r="D32" s="27" t="s">
        <v>221</v>
      </c>
      <c r="E32" s="27" t="s">
        <v>222</v>
      </c>
    </row>
    <row r="33" spans="1:5" ht="12.75">
      <c r="A33" s="24" t="s">
        <v>478</v>
      </c>
      <c r="B33" s="4" t="s">
        <v>217</v>
      </c>
      <c r="C33" s="4" t="s">
        <v>273</v>
      </c>
      <c r="D33" s="4" t="s">
        <v>200</v>
      </c>
      <c r="E33" s="28" t="s">
        <v>504</v>
      </c>
    </row>
    <row r="34" spans="1:5" ht="12.75">
      <c r="A34" s="24" t="s">
        <v>484</v>
      </c>
      <c r="B34" s="4" t="s">
        <v>217</v>
      </c>
      <c r="C34" s="4" t="s">
        <v>273</v>
      </c>
      <c r="D34" s="4" t="s">
        <v>374</v>
      </c>
      <c r="E34" s="28" t="s">
        <v>505</v>
      </c>
    </row>
    <row r="36" spans="1:2" ht="14.25">
      <c r="A36" s="25"/>
      <c r="B36" s="26" t="s">
        <v>278</v>
      </c>
    </row>
    <row r="37" spans="1:5" ht="15">
      <c r="A37" s="27" t="s">
        <v>218</v>
      </c>
      <c r="B37" s="27" t="s">
        <v>219</v>
      </c>
      <c r="C37" s="27" t="s">
        <v>220</v>
      </c>
      <c r="D37" s="27" t="s">
        <v>221</v>
      </c>
      <c r="E37" s="27" t="s">
        <v>222</v>
      </c>
    </row>
    <row r="38" spans="1:5" ht="12.75">
      <c r="A38" s="24" t="s">
        <v>496</v>
      </c>
      <c r="B38" s="4" t="s">
        <v>279</v>
      </c>
      <c r="C38" s="4" t="s">
        <v>260</v>
      </c>
      <c r="D38" s="4" t="s">
        <v>94</v>
      </c>
      <c r="E38" s="28" t="s">
        <v>506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6">
      <selection activeCell="I36" sqref="I36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6" width="31.7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7.625" style="4" bestFit="1" customWidth="1"/>
    <col min="14" max="16384" width="9.125" style="3" customWidth="1"/>
  </cols>
  <sheetData>
    <row r="1" spans="1:13" s="2" customFormat="1" ht="28.5" customHeight="1">
      <c r="A1" s="44" t="s">
        <v>354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356</v>
      </c>
      <c r="B6" s="11" t="s">
        <v>357</v>
      </c>
      <c r="C6" s="11" t="s">
        <v>358</v>
      </c>
      <c r="D6" s="11" t="str">
        <f>"0,7773"</f>
        <v>0,7773</v>
      </c>
      <c r="E6" s="11" t="s">
        <v>359</v>
      </c>
      <c r="F6" s="11" t="s">
        <v>53</v>
      </c>
      <c r="G6" s="12" t="s">
        <v>68</v>
      </c>
      <c r="H6" s="12" t="s">
        <v>75</v>
      </c>
      <c r="I6" s="12" t="s">
        <v>360</v>
      </c>
      <c r="J6" s="13"/>
      <c r="K6" s="11" t="str">
        <f>"72,5"</f>
        <v>72,5</v>
      </c>
      <c r="L6" s="12" t="str">
        <f>"58,1012"</f>
        <v>58,1012</v>
      </c>
      <c r="M6" s="11" t="s">
        <v>361</v>
      </c>
    </row>
    <row r="8" spans="1:12" ht="15">
      <c r="A8" s="47" t="s">
        <v>70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363</v>
      </c>
      <c r="B9" s="11" t="s">
        <v>364</v>
      </c>
      <c r="C9" s="11" t="s">
        <v>365</v>
      </c>
      <c r="D9" s="11" t="str">
        <f>"0,7398"</f>
        <v>0,7398</v>
      </c>
      <c r="E9" s="11" t="s">
        <v>52</v>
      </c>
      <c r="F9" s="11" t="s">
        <v>53</v>
      </c>
      <c r="G9" s="13" t="s">
        <v>45</v>
      </c>
      <c r="H9" s="13" t="s">
        <v>45</v>
      </c>
      <c r="I9" s="12" t="s">
        <v>45</v>
      </c>
      <c r="J9" s="13"/>
      <c r="K9" s="11" t="str">
        <f>"110,0"</f>
        <v>110,0</v>
      </c>
      <c r="L9" s="12" t="str">
        <f>"81,3780"</f>
        <v>81,3780</v>
      </c>
      <c r="M9" s="11" t="s">
        <v>159</v>
      </c>
    </row>
    <row r="11" spans="1:12" ht="15">
      <c r="A11" s="47" t="s">
        <v>30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ht="12.75">
      <c r="A12" s="11" t="s">
        <v>367</v>
      </c>
      <c r="B12" s="11" t="s">
        <v>368</v>
      </c>
      <c r="C12" s="11" t="s">
        <v>369</v>
      </c>
      <c r="D12" s="11" t="str">
        <f>"0,6980"</f>
        <v>0,6980</v>
      </c>
      <c r="E12" s="11" t="s">
        <v>108</v>
      </c>
      <c r="F12" s="11" t="s">
        <v>109</v>
      </c>
      <c r="G12" s="12" t="s">
        <v>39</v>
      </c>
      <c r="H12" s="12" t="s">
        <v>83</v>
      </c>
      <c r="I12" s="12" t="s">
        <v>129</v>
      </c>
      <c r="J12" s="13"/>
      <c r="K12" s="11" t="str">
        <f>"95,0"</f>
        <v>95,0</v>
      </c>
      <c r="L12" s="12" t="str">
        <f>"68,2993"</f>
        <v>68,2993</v>
      </c>
      <c r="M12" s="11" t="s">
        <v>116</v>
      </c>
    </row>
    <row r="14" spans="1:12" ht="15">
      <c r="A14" s="47" t="s">
        <v>137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4" t="s">
        <v>371</v>
      </c>
      <c r="B15" s="14" t="s">
        <v>372</v>
      </c>
      <c r="C15" s="14" t="s">
        <v>373</v>
      </c>
      <c r="D15" s="14" t="str">
        <f>"0,6412"</f>
        <v>0,6412</v>
      </c>
      <c r="E15" s="14" t="s">
        <v>52</v>
      </c>
      <c r="F15" s="14" t="s">
        <v>53</v>
      </c>
      <c r="G15" s="15" t="s">
        <v>374</v>
      </c>
      <c r="H15" s="16" t="s">
        <v>136</v>
      </c>
      <c r="I15" s="16" t="s">
        <v>136</v>
      </c>
      <c r="J15" s="16"/>
      <c r="K15" s="14" t="str">
        <f>"145,0"</f>
        <v>145,0</v>
      </c>
      <c r="L15" s="15" t="str">
        <f>"95,7632"</f>
        <v>95,7632</v>
      </c>
      <c r="M15" s="14" t="s">
        <v>159</v>
      </c>
    </row>
    <row r="16" spans="1:13" ht="12.75">
      <c r="A16" s="20" t="s">
        <v>371</v>
      </c>
      <c r="B16" s="20" t="s">
        <v>375</v>
      </c>
      <c r="C16" s="20" t="s">
        <v>373</v>
      </c>
      <c r="D16" s="20" t="str">
        <f>"0,6412"</f>
        <v>0,6412</v>
      </c>
      <c r="E16" s="20" t="s">
        <v>52</v>
      </c>
      <c r="F16" s="20" t="s">
        <v>53</v>
      </c>
      <c r="G16" s="22" t="s">
        <v>374</v>
      </c>
      <c r="H16" s="21" t="s">
        <v>136</v>
      </c>
      <c r="I16" s="21" t="s">
        <v>136</v>
      </c>
      <c r="J16" s="21"/>
      <c r="K16" s="20" t="str">
        <f>"145,0"</f>
        <v>145,0</v>
      </c>
      <c r="L16" s="22" t="str">
        <f>"92,9740"</f>
        <v>92,9740</v>
      </c>
      <c r="M16" s="20" t="s">
        <v>159</v>
      </c>
    </row>
    <row r="17" spans="1:13" ht="12.75">
      <c r="A17" s="20" t="s">
        <v>377</v>
      </c>
      <c r="B17" s="20" t="s">
        <v>378</v>
      </c>
      <c r="C17" s="20" t="s">
        <v>379</v>
      </c>
      <c r="D17" s="20" t="str">
        <f>"0,6284"</f>
        <v>0,6284</v>
      </c>
      <c r="E17" s="20" t="s">
        <v>380</v>
      </c>
      <c r="F17" s="20" t="s">
        <v>381</v>
      </c>
      <c r="G17" s="22" t="s">
        <v>76</v>
      </c>
      <c r="H17" s="21" t="s">
        <v>135</v>
      </c>
      <c r="I17" s="21"/>
      <c r="J17" s="21"/>
      <c r="K17" s="20" t="str">
        <f>"135,0"</f>
        <v>135,0</v>
      </c>
      <c r="L17" s="22" t="str">
        <f>"84,8340"</f>
        <v>84,8340</v>
      </c>
      <c r="M17" s="20" t="s">
        <v>382</v>
      </c>
    </row>
    <row r="18" spans="1:13" ht="12.75">
      <c r="A18" s="20" t="s">
        <v>384</v>
      </c>
      <c r="B18" s="20" t="s">
        <v>385</v>
      </c>
      <c r="C18" s="20" t="s">
        <v>386</v>
      </c>
      <c r="D18" s="20" t="str">
        <f>"0,6193"</f>
        <v>0,6193</v>
      </c>
      <c r="E18" s="20" t="s">
        <v>52</v>
      </c>
      <c r="F18" s="20" t="s">
        <v>53</v>
      </c>
      <c r="G18" s="21" t="s">
        <v>54</v>
      </c>
      <c r="H18" s="22" t="s">
        <v>57</v>
      </c>
      <c r="I18" s="21" t="s">
        <v>76</v>
      </c>
      <c r="J18" s="21"/>
      <c r="K18" s="20" t="str">
        <f>"130,0"</f>
        <v>130,0</v>
      </c>
      <c r="L18" s="22" t="str">
        <f>"80,5090"</f>
        <v>80,5090</v>
      </c>
      <c r="M18" s="20" t="s">
        <v>387</v>
      </c>
    </row>
    <row r="19" spans="1:13" ht="12.75">
      <c r="A19" s="20" t="s">
        <v>389</v>
      </c>
      <c r="B19" s="20" t="s">
        <v>390</v>
      </c>
      <c r="C19" s="20" t="s">
        <v>391</v>
      </c>
      <c r="D19" s="20" t="str">
        <f>"0,6224"</f>
        <v>0,6224</v>
      </c>
      <c r="E19" s="20" t="s">
        <v>392</v>
      </c>
      <c r="F19" s="20" t="s">
        <v>393</v>
      </c>
      <c r="G19" s="22" t="s">
        <v>45</v>
      </c>
      <c r="H19" s="22" t="s">
        <v>54</v>
      </c>
      <c r="I19" s="21" t="s">
        <v>57</v>
      </c>
      <c r="J19" s="21"/>
      <c r="K19" s="20" t="str">
        <f>"120,0"</f>
        <v>120,0</v>
      </c>
      <c r="L19" s="22" t="str">
        <f>"74,6880"</f>
        <v>74,6880</v>
      </c>
      <c r="M19" s="20" t="s">
        <v>159</v>
      </c>
    </row>
    <row r="20" spans="1:13" ht="12.75">
      <c r="A20" s="17" t="s">
        <v>395</v>
      </c>
      <c r="B20" s="17" t="s">
        <v>396</v>
      </c>
      <c r="C20" s="17" t="s">
        <v>386</v>
      </c>
      <c r="D20" s="17" t="str">
        <f>"0,6193"</f>
        <v>0,6193</v>
      </c>
      <c r="E20" s="17" t="s">
        <v>52</v>
      </c>
      <c r="F20" s="17" t="s">
        <v>53</v>
      </c>
      <c r="G20" s="18" t="s">
        <v>44</v>
      </c>
      <c r="H20" s="19" t="s">
        <v>95</v>
      </c>
      <c r="I20" s="19" t="s">
        <v>95</v>
      </c>
      <c r="J20" s="19"/>
      <c r="K20" s="17" t="str">
        <f>"105,0"</f>
        <v>105,0</v>
      </c>
      <c r="L20" s="18" t="str">
        <f>"65,0265"</f>
        <v>65,0265</v>
      </c>
      <c r="M20" s="17" t="s">
        <v>397</v>
      </c>
    </row>
    <row r="22" spans="1:12" ht="15">
      <c r="A22" s="47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3" ht="12.75">
      <c r="A23" s="14" t="s">
        <v>399</v>
      </c>
      <c r="B23" s="14" t="s">
        <v>400</v>
      </c>
      <c r="C23" s="14" t="s">
        <v>401</v>
      </c>
      <c r="D23" s="14" t="str">
        <f>"0,5901"</f>
        <v>0,5901</v>
      </c>
      <c r="E23" s="14" t="s">
        <v>402</v>
      </c>
      <c r="F23" s="14" t="s">
        <v>53</v>
      </c>
      <c r="G23" s="15" t="s">
        <v>200</v>
      </c>
      <c r="H23" s="15" t="s">
        <v>96</v>
      </c>
      <c r="I23" s="16" t="s">
        <v>403</v>
      </c>
      <c r="J23" s="16"/>
      <c r="K23" s="14" t="str">
        <f>"180,0"</f>
        <v>180,0</v>
      </c>
      <c r="L23" s="15" t="str">
        <f>"106,2180"</f>
        <v>106,2180</v>
      </c>
      <c r="M23" s="14" t="s">
        <v>404</v>
      </c>
    </row>
    <row r="24" spans="1:13" ht="12.75">
      <c r="A24" s="20" t="s">
        <v>406</v>
      </c>
      <c r="B24" s="20" t="s">
        <v>407</v>
      </c>
      <c r="C24" s="20" t="s">
        <v>408</v>
      </c>
      <c r="D24" s="20" t="str">
        <f>"0,5978"</f>
        <v>0,5978</v>
      </c>
      <c r="E24" s="20" t="s">
        <v>324</v>
      </c>
      <c r="F24" s="20" t="s">
        <v>409</v>
      </c>
      <c r="G24" s="22" t="s">
        <v>76</v>
      </c>
      <c r="H24" s="21" t="s">
        <v>128</v>
      </c>
      <c r="I24" s="21"/>
      <c r="J24" s="21"/>
      <c r="K24" s="20" t="str">
        <f>"135,0"</f>
        <v>135,0</v>
      </c>
      <c r="L24" s="22" t="str">
        <f>"80,7030"</f>
        <v>80,7030</v>
      </c>
      <c r="M24" s="20" t="s">
        <v>410</v>
      </c>
    </row>
    <row r="25" spans="1:13" ht="12.75">
      <c r="A25" s="17" t="s">
        <v>412</v>
      </c>
      <c r="B25" s="17" t="s">
        <v>413</v>
      </c>
      <c r="C25" s="17" t="s">
        <v>414</v>
      </c>
      <c r="D25" s="17" t="str">
        <f>"0,5873"</f>
        <v>0,5873</v>
      </c>
      <c r="E25" s="17" t="s">
        <v>402</v>
      </c>
      <c r="F25" s="17" t="s">
        <v>53</v>
      </c>
      <c r="G25" s="18" t="s">
        <v>57</v>
      </c>
      <c r="H25" s="18" t="s">
        <v>76</v>
      </c>
      <c r="I25" s="19" t="s">
        <v>128</v>
      </c>
      <c r="J25" s="19"/>
      <c r="K25" s="17" t="str">
        <f>"135,0"</f>
        <v>135,0</v>
      </c>
      <c r="L25" s="18" t="str">
        <f>"80,7126"</f>
        <v>80,7126</v>
      </c>
      <c r="M25" s="17" t="s">
        <v>404</v>
      </c>
    </row>
    <row r="27" spans="1:12" ht="15">
      <c r="A27" s="47" t="s">
        <v>160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3" ht="12.75">
      <c r="A28" s="14" t="s">
        <v>416</v>
      </c>
      <c r="B28" s="14" t="s">
        <v>417</v>
      </c>
      <c r="C28" s="14" t="s">
        <v>418</v>
      </c>
      <c r="D28" s="14" t="str">
        <f>"0,5558"</f>
        <v>0,5558</v>
      </c>
      <c r="E28" s="14" t="s">
        <v>402</v>
      </c>
      <c r="F28" s="14" t="s">
        <v>53</v>
      </c>
      <c r="G28" s="15" t="s">
        <v>158</v>
      </c>
      <c r="H28" s="16" t="s">
        <v>142</v>
      </c>
      <c r="I28" s="16"/>
      <c r="J28" s="16"/>
      <c r="K28" s="14" t="str">
        <f>"185,0"</f>
        <v>185,0</v>
      </c>
      <c r="L28" s="15" t="str">
        <f>"108,9924"</f>
        <v>108,9924</v>
      </c>
      <c r="M28" s="14" t="s">
        <v>159</v>
      </c>
    </row>
    <row r="29" spans="1:13" ht="12.75">
      <c r="A29" s="20" t="s">
        <v>416</v>
      </c>
      <c r="B29" s="20" t="s">
        <v>419</v>
      </c>
      <c r="C29" s="20" t="s">
        <v>418</v>
      </c>
      <c r="D29" s="20" t="str">
        <f>"0,5558"</f>
        <v>0,5558</v>
      </c>
      <c r="E29" s="20" t="s">
        <v>402</v>
      </c>
      <c r="F29" s="20" t="s">
        <v>53</v>
      </c>
      <c r="G29" s="22" t="s">
        <v>158</v>
      </c>
      <c r="H29" s="21" t="s">
        <v>142</v>
      </c>
      <c r="I29" s="21"/>
      <c r="J29" s="21"/>
      <c r="K29" s="20" t="str">
        <f>"185,0"</f>
        <v>185,0</v>
      </c>
      <c r="L29" s="22" t="str">
        <f>"102,8230"</f>
        <v>102,8230</v>
      </c>
      <c r="M29" s="20" t="s">
        <v>159</v>
      </c>
    </row>
    <row r="30" spans="1:13" ht="12.75">
      <c r="A30" s="20" t="s">
        <v>421</v>
      </c>
      <c r="B30" s="20" t="s">
        <v>422</v>
      </c>
      <c r="C30" s="20" t="s">
        <v>423</v>
      </c>
      <c r="D30" s="20" t="str">
        <f>"0,5613"</f>
        <v>0,5613</v>
      </c>
      <c r="E30" s="20" t="s">
        <v>424</v>
      </c>
      <c r="F30" s="20" t="s">
        <v>53</v>
      </c>
      <c r="G30" s="22" t="s">
        <v>110</v>
      </c>
      <c r="H30" s="22" t="s">
        <v>93</v>
      </c>
      <c r="I30" s="21" t="s">
        <v>94</v>
      </c>
      <c r="J30" s="21"/>
      <c r="K30" s="20" t="str">
        <f>"165,0"</f>
        <v>165,0</v>
      </c>
      <c r="L30" s="22" t="str">
        <f>"92,6145"</f>
        <v>92,6145</v>
      </c>
      <c r="M30" s="20" t="s">
        <v>425</v>
      </c>
    </row>
    <row r="31" spans="1:13" ht="12.75">
      <c r="A31" s="20" t="s">
        <v>427</v>
      </c>
      <c r="B31" s="20" t="s">
        <v>428</v>
      </c>
      <c r="C31" s="20" t="s">
        <v>429</v>
      </c>
      <c r="D31" s="20" t="str">
        <f>"0,5565"</f>
        <v>0,5565</v>
      </c>
      <c r="E31" s="20" t="s">
        <v>430</v>
      </c>
      <c r="F31" s="20" t="s">
        <v>53</v>
      </c>
      <c r="G31" s="22" t="s">
        <v>128</v>
      </c>
      <c r="H31" s="22" t="s">
        <v>136</v>
      </c>
      <c r="I31" s="21" t="s">
        <v>120</v>
      </c>
      <c r="J31" s="21"/>
      <c r="K31" s="20" t="str">
        <f>"150,0"</f>
        <v>150,0</v>
      </c>
      <c r="L31" s="22" t="str">
        <f>"83,4750"</f>
        <v>83,4750</v>
      </c>
      <c r="M31" s="20" t="s">
        <v>159</v>
      </c>
    </row>
    <row r="32" spans="1:13" ht="12.75">
      <c r="A32" s="17" t="s">
        <v>432</v>
      </c>
      <c r="B32" s="17" t="s">
        <v>433</v>
      </c>
      <c r="C32" s="17" t="s">
        <v>434</v>
      </c>
      <c r="D32" s="17" t="str">
        <f>"0,5586"</f>
        <v>0,5586</v>
      </c>
      <c r="E32" s="17" t="s">
        <v>435</v>
      </c>
      <c r="F32" s="17" t="s">
        <v>325</v>
      </c>
      <c r="G32" s="18" t="s">
        <v>128</v>
      </c>
      <c r="H32" s="19" t="s">
        <v>436</v>
      </c>
      <c r="I32" s="19" t="s">
        <v>436</v>
      </c>
      <c r="J32" s="19"/>
      <c r="K32" s="17" t="str">
        <f>"140,0"</f>
        <v>140,0</v>
      </c>
      <c r="L32" s="18" t="str">
        <f>"78,2040"</f>
        <v>78,2040</v>
      </c>
      <c r="M32" s="17" t="s">
        <v>437</v>
      </c>
    </row>
    <row r="34" spans="1:12" ht="15">
      <c r="A34" s="47" t="s">
        <v>202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3" ht="12.75">
      <c r="A35" s="14" t="s">
        <v>439</v>
      </c>
      <c r="B35" s="14" t="s">
        <v>440</v>
      </c>
      <c r="C35" s="14" t="s">
        <v>441</v>
      </c>
      <c r="D35" s="14" t="str">
        <f>"0,5240"</f>
        <v>0,5240</v>
      </c>
      <c r="E35" s="14" t="s">
        <v>442</v>
      </c>
      <c r="F35" s="14" t="s">
        <v>170</v>
      </c>
      <c r="G35" s="15" t="s">
        <v>182</v>
      </c>
      <c r="H35" s="15" t="s">
        <v>443</v>
      </c>
      <c r="I35" s="16"/>
      <c r="J35" s="16"/>
      <c r="K35" s="14" t="str">
        <f>"212,5"</f>
        <v>212,5</v>
      </c>
      <c r="L35" s="15" t="str">
        <f>"111,3500"</f>
        <v>111,3500</v>
      </c>
      <c r="M35" s="14" t="s">
        <v>444</v>
      </c>
    </row>
    <row r="36" spans="1:13" ht="12.75">
      <c r="A36" s="20" t="s">
        <v>445</v>
      </c>
      <c r="B36" s="20" t="s">
        <v>306</v>
      </c>
      <c r="C36" s="20" t="s">
        <v>307</v>
      </c>
      <c r="D36" s="20" t="str">
        <f>"0,5230"</f>
        <v>0,5230</v>
      </c>
      <c r="E36" s="20" t="s">
        <v>52</v>
      </c>
      <c r="F36" s="20" t="s">
        <v>53</v>
      </c>
      <c r="G36" s="21" t="s">
        <v>158</v>
      </c>
      <c r="H36" s="21"/>
      <c r="I36" s="21"/>
      <c r="J36" s="21"/>
      <c r="K36" s="20" t="str">
        <f>"0.00"</f>
        <v>0.00</v>
      </c>
      <c r="L36" s="22" t="str">
        <f>"0,0000"</f>
        <v>0,0000</v>
      </c>
      <c r="M36" s="20" t="s">
        <v>308</v>
      </c>
    </row>
    <row r="37" spans="1:13" ht="12.75">
      <c r="A37" s="17" t="s">
        <v>447</v>
      </c>
      <c r="B37" s="17" t="s">
        <v>448</v>
      </c>
      <c r="C37" s="17" t="s">
        <v>449</v>
      </c>
      <c r="D37" s="17" t="str">
        <f>"0,5288"</f>
        <v>0,5288</v>
      </c>
      <c r="E37" s="17" t="s">
        <v>64</v>
      </c>
      <c r="F37" s="17" t="s">
        <v>65</v>
      </c>
      <c r="G37" s="18" t="s">
        <v>110</v>
      </c>
      <c r="H37" s="18" t="s">
        <v>199</v>
      </c>
      <c r="I37" s="19" t="s">
        <v>111</v>
      </c>
      <c r="J37" s="19"/>
      <c r="K37" s="17" t="str">
        <f>"167,5"</f>
        <v>167,5</v>
      </c>
      <c r="L37" s="18" t="str">
        <f>"92,8256"</f>
        <v>92,8256</v>
      </c>
      <c r="M37" s="17" t="s">
        <v>69</v>
      </c>
    </row>
    <row r="39" spans="1:12" ht="15">
      <c r="A39" s="47" t="s">
        <v>208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11" t="s">
        <v>450</v>
      </c>
      <c r="B40" s="11" t="s">
        <v>211</v>
      </c>
      <c r="C40" s="11" t="s">
        <v>212</v>
      </c>
      <c r="D40" s="11" t="str">
        <f>"0,5191"</f>
        <v>0,5191</v>
      </c>
      <c r="E40" s="11" t="s">
        <v>64</v>
      </c>
      <c r="F40" s="11" t="s">
        <v>65</v>
      </c>
      <c r="G40" s="13" t="s">
        <v>136</v>
      </c>
      <c r="H40" s="13"/>
      <c r="I40" s="13"/>
      <c r="J40" s="13"/>
      <c r="K40" s="11" t="str">
        <f>"0.00"</f>
        <v>0.00</v>
      </c>
      <c r="L40" s="12" t="str">
        <f>"0,0000"</f>
        <v>0,0000</v>
      </c>
      <c r="M40" s="11" t="s">
        <v>69</v>
      </c>
    </row>
    <row r="42" ht="15">
      <c r="E42" s="9" t="s">
        <v>14</v>
      </c>
    </row>
    <row r="43" ht="15">
      <c r="E43" s="9" t="s">
        <v>15</v>
      </c>
    </row>
    <row r="44" ht="15">
      <c r="E44" s="9" t="s">
        <v>16</v>
      </c>
    </row>
    <row r="45" ht="15">
      <c r="E45" s="9" t="s">
        <v>17</v>
      </c>
    </row>
    <row r="46" ht="15">
      <c r="E46" s="9" t="s">
        <v>17</v>
      </c>
    </row>
    <row r="47" ht="15">
      <c r="E47" s="9" t="s">
        <v>18</v>
      </c>
    </row>
    <row r="48" ht="15">
      <c r="E48" s="9"/>
    </row>
    <row r="50" spans="1:2" ht="18">
      <c r="A50" s="10" t="s">
        <v>19</v>
      </c>
      <c r="B50" s="10"/>
    </row>
    <row r="51" spans="1:2" ht="15">
      <c r="A51" s="23" t="s">
        <v>216</v>
      </c>
      <c r="B51" s="23"/>
    </row>
    <row r="52" spans="1:2" ht="14.25">
      <c r="A52" s="25"/>
      <c r="B52" s="26" t="s">
        <v>278</v>
      </c>
    </row>
    <row r="53" spans="1:5" ht="15">
      <c r="A53" s="27" t="s">
        <v>218</v>
      </c>
      <c r="B53" s="27" t="s">
        <v>219</v>
      </c>
      <c r="C53" s="27" t="s">
        <v>220</v>
      </c>
      <c r="D53" s="27" t="s">
        <v>221</v>
      </c>
      <c r="E53" s="27" t="s">
        <v>222</v>
      </c>
    </row>
    <row r="54" spans="1:5" ht="12.75">
      <c r="A54" s="24" t="s">
        <v>355</v>
      </c>
      <c r="B54" s="4" t="s">
        <v>279</v>
      </c>
      <c r="C54" s="4" t="s">
        <v>226</v>
      </c>
      <c r="D54" s="4" t="s">
        <v>360</v>
      </c>
      <c r="E54" s="28" t="s">
        <v>451</v>
      </c>
    </row>
    <row r="57" spans="1:2" ht="15">
      <c r="A57" s="23" t="s">
        <v>229</v>
      </c>
      <c r="B57" s="23"/>
    </row>
    <row r="58" spans="1:2" ht="14.25">
      <c r="A58" s="25"/>
      <c r="B58" s="26" t="s">
        <v>230</v>
      </c>
    </row>
    <row r="59" spans="1:5" ht="15">
      <c r="A59" s="27" t="s">
        <v>218</v>
      </c>
      <c r="B59" s="27" t="s">
        <v>219</v>
      </c>
      <c r="C59" s="27" t="s">
        <v>220</v>
      </c>
      <c r="D59" s="27" t="s">
        <v>221</v>
      </c>
      <c r="E59" s="27" t="s">
        <v>222</v>
      </c>
    </row>
    <row r="60" spans="1:5" ht="12.75">
      <c r="A60" s="24" t="s">
        <v>415</v>
      </c>
      <c r="B60" s="4" t="s">
        <v>452</v>
      </c>
      <c r="C60" s="4" t="s">
        <v>242</v>
      </c>
      <c r="D60" s="4" t="s">
        <v>158</v>
      </c>
      <c r="E60" s="28" t="s">
        <v>453</v>
      </c>
    </row>
    <row r="62" spans="1:2" ht="14.25">
      <c r="A62" s="25"/>
      <c r="B62" s="26" t="s">
        <v>245</v>
      </c>
    </row>
    <row r="63" spans="1:5" ht="15">
      <c r="A63" s="27" t="s">
        <v>218</v>
      </c>
      <c r="B63" s="27" t="s">
        <v>219</v>
      </c>
      <c r="C63" s="27" t="s">
        <v>220</v>
      </c>
      <c r="D63" s="27" t="s">
        <v>221</v>
      </c>
      <c r="E63" s="27" t="s">
        <v>222</v>
      </c>
    </row>
    <row r="64" spans="1:5" ht="12.75">
      <c r="A64" s="24" t="s">
        <v>370</v>
      </c>
      <c r="B64" s="4" t="s">
        <v>246</v>
      </c>
      <c r="C64" s="4" t="s">
        <v>234</v>
      </c>
      <c r="D64" s="4" t="s">
        <v>374</v>
      </c>
      <c r="E64" s="28" t="s">
        <v>454</v>
      </c>
    </row>
    <row r="65" spans="1:5" ht="12.75">
      <c r="A65" s="24" t="s">
        <v>366</v>
      </c>
      <c r="B65" s="4" t="s">
        <v>246</v>
      </c>
      <c r="C65" s="4" t="s">
        <v>226</v>
      </c>
      <c r="D65" s="4" t="s">
        <v>129</v>
      </c>
      <c r="E65" s="28" t="s">
        <v>455</v>
      </c>
    </row>
    <row r="67" spans="1:2" ht="14.25">
      <c r="A67" s="25"/>
      <c r="B67" s="26" t="s">
        <v>217</v>
      </c>
    </row>
    <row r="68" spans="1:5" ht="15">
      <c r="A68" s="27" t="s">
        <v>218</v>
      </c>
      <c r="B68" s="27" t="s">
        <v>219</v>
      </c>
      <c r="C68" s="27" t="s">
        <v>220</v>
      </c>
      <c r="D68" s="27" t="s">
        <v>221</v>
      </c>
      <c r="E68" s="27" t="s">
        <v>222</v>
      </c>
    </row>
    <row r="69" spans="1:5" ht="12.75">
      <c r="A69" s="24" t="s">
        <v>438</v>
      </c>
      <c r="B69" s="4" t="s">
        <v>217</v>
      </c>
      <c r="C69" s="4" t="s">
        <v>260</v>
      </c>
      <c r="D69" s="4" t="s">
        <v>443</v>
      </c>
      <c r="E69" s="28" t="s">
        <v>456</v>
      </c>
    </row>
    <row r="70" spans="1:5" ht="12.75">
      <c r="A70" s="24" t="s">
        <v>398</v>
      </c>
      <c r="B70" s="4" t="s">
        <v>217</v>
      </c>
      <c r="C70" s="4" t="s">
        <v>223</v>
      </c>
      <c r="D70" s="4" t="s">
        <v>96</v>
      </c>
      <c r="E70" s="28" t="s">
        <v>457</v>
      </c>
    </row>
    <row r="71" spans="1:5" ht="12.75">
      <c r="A71" s="24" t="s">
        <v>415</v>
      </c>
      <c r="B71" s="4" t="s">
        <v>217</v>
      </c>
      <c r="C71" s="4" t="s">
        <v>242</v>
      </c>
      <c r="D71" s="4" t="s">
        <v>158</v>
      </c>
      <c r="E71" s="28" t="s">
        <v>458</v>
      </c>
    </row>
    <row r="72" spans="1:5" ht="12.75">
      <c r="A72" s="24" t="s">
        <v>370</v>
      </c>
      <c r="B72" s="4" t="s">
        <v>217</v>
      </c>
      <c r="C72" s="4" t="s">
        <v>234</v>
      </c>
      <c r="D72" s="4" t="s">
        <v>374</v>
      </c>
      <c r="E72" s="28" t="s">
        <v>459</v>
      </c>
    </row>
    <row r="73" spans="1:5" ht="12.75">
      <c r="A73" s="24" t="s">
        <v>420</v>
      </c>
      <c r="B73" s="4" t="s">
        <v>217</v>
      </c>
      <c r="C73" s="4" t="s">
        <v>242</v>
      </c>
      <c r="D73" s="4" t="s">
        <v>93</v>
      </c>
      <c r="E73" s="28" t="s">
        <v>460</v>
      </c>
    </row>
    <row r="74" spans="1:5" ht="12.75">
      <c r="A74" s="24" t="s">
        <v>376</v>
      </c>
      <c r="B74" s="4" t="s">
        <v>217</v>
      </c>
      <c r="C74" s="4" t="s">
        <v>234</v>
      </c>
      <c r="D74" s="4" t="s">
        <v>76</v>
      </c>
      <c r="E74" s="28" t="s">
        <v>461</v>
      </c>
    </row>
    <row r="75" spans="1:5" ht="12.75">
      <c r="A75" s="24" t="s">
        <v>426</v>
      </c>
      <c r="B75" s="4" t="s">
        <v>217</v>
      </c>
      <c r="C75" s="4" t="s">
        <v>242</v>
      </c>
      <c r="D75" s="4" t="s">
        <v>136</v>
      </c>
      <c r="E75" s="28" t="s">
        <v>462</v>
      </c>
    </row>
    <row r="76" spans="1:5" ht="12.75">
      <c r="A76" s="24" t="s">
        <v>362</v>
      </c>
      <c r="B76" s="4" t="s">
        <v>217</v>
      </c>
      <c r="C76" s="4" t="s">
        <v>237</v>
      </c>
      <c r="D76" s="4" t="s">
        <v>45</v>
      </c>
      <c r="E76" s="28" t="s">
        <v>463</v>
      </c>
    </row>
    <row r="77" spans="1:5" ht="12.75">
      <c r="A77" s="24" t="s">
        <v>405</v>
      </c>
      <c r="B77" s="4" t="s">
        <v>217</v>
      </c>
      <c r="C77" s="4" t="s">
        <v>223</v>
      </c>
      <c r="D77" s="4" t="s">
        <v>76</v>
      </c>
      <c r="E77" s="28" t="s">
        <v>464</v>
      </c>
    </row>
    <row r="78" spans="1:5" ht="12.75">
      <c r="A78" s="24" t="s">
        <v>383</v>
      </c>
      <c r="B78" s="4" t="s">
        <v>217</v>
      </c>
      <c r="C78" s="4" t="s">
        <v>234</v>
      </c>
      <c r="D78" s="4" t="s">
        <v>57</v>
      </c>
      <c r="E78" s="28" t="s">
        <v>465</v>
      </c>
    </row>
    <row r="79" spans="1:5" ht="12.75">
      <c r="A79" s="24" t="s">
        <v>431</v>
      </c>
      <c r="B79" s="4" t="s">
        <v>217</v>
      </c>
      <c r="C79" s="4" t="s">
        <v>242</v>
      </c>
      <c r="D79" s="4" t="s">
        <v>128</v>
      </c>
      <c r="E79" s="28" t="s">
        <v>466</v>
      </c>
    </row>
    <row r="80" spans="1:5" ht="12.75">
      <c r="A80" s="24" t="s">
        <v>388</v>
      </c>
      <c r="B80" s="4" t="s">
        <v>217</v>
      </c>
      <c r="C80" s="4" t="s">
        <v>234</v>
      </c>
      <c r="D80" s="4" t="s">
        <v>54</v>
      </c>
      <c r="E80" s="28" t="s">
        <v>467</v>
      </c>
    </row>
    <row r="81" spans="1:5" ht="12.75">
      <c r="A81" s="24" t="s">
        <v>394</v>
      </c>
      <c r="B81" s="4" t="s">
        <v>217</v>
      </c>
      <c r="C81" s="4" t="s">
        <v>234</v>
      </c>
      <c r="D81" s="4" t="s">
        <v>44</v>
      </c>
      <c r="E81" s="28" t="s">
        <v>468</v>
      </c>
    </row>
    <row r="83" spans="1:2" ht="14.25">
      <c r="A83" s="25"/>
      <c r="B83" s="26" t="s">
        <v>278</v>
      </c>
    </row>
    <row r="84" spans="1:5" ht="15">
      <c r="A84" s="27" t="s">
        <v>218</v>
      </c>
      <c r="B84" s="27" t="s">
        <v>219</v>
      </c>
      <c r="C84" s="27" t="s">
        <v>220</v>
      </c>
      <c r="D84" s="27" t="s">
        <v>221</v>
      </c>
      <c r="E84" s="27" t="s">
        <v>222</v>
      </c>
    </row>
    <row r="85" spans="1:5" ht="12.75">
      <c r="A85" s="24" t="s">
        <v>446</v>
      </c>
      <c r="B85" s="4" t="s">
        <v>469</v>
      </c>
      <c r="C85" s="4" t="s">
        <v>260</v>
      </c>
      <c r="D85" s="4" t="s">
        <v>199</v>
      </c>
      <c r="E85" s="28" t="s">
        <v>470</v>
      </c>
    </row>
    <row r="86" spans="1:5" ht="12.75">
      <c r="A86" s="24" t="s">
        <v>411</v>
      </c>
      <c r="B86" s="4" t="s">
        <v>279</v>
      </c>
      <c r="C86" s="4" t="s">
        <v>223</v>
      </c>
      <c r="D86" s="4" t="s">
        <v>76</v>
      </c>
      <c r="E86" s="28" t="s">
        <v>471</v>
      </c>
    </row>
  </sheetData>
  <sheetProtection/>
  <mergeCells count="19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4:L14"/>
    <mergeCell ref="A22:L22"/>
    <mergeCell ref="A27:L27"/>
    <mergeCell ref="A34:L34"/>
    <mergeCell ref="A39:L3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353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2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5.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2.125" style="4" bestFit="1" customWidth="1"/>
    <col min="14" max="16384" width="9.125" style="3" customWidth="1"/>
  </cols>
  <sheetData>
    <row r="1" spans="1:13" s="2" customFormat="1" ht="28.5" customHeight="1">
      <c r="A1" s="44" t="s">
        <v>344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346</v>
      </c>
      <c r="B6" s="11" t="s">
        <v>347</v>
      </c>
      <c r="C6" s="11" t="s">
        <v>348</v>
      </c>
      <c r="D6" s="11" t="str">
        <f>"0,5877"</f>
        <v>0,5877</v>
      </c>
      <c r="E6" s="11" t="s">
        <v>349</v>
      </c>
      <c r="F6" s="11" t="s">
        <v>109</v>
      </c>
      <c r="G6" s="12" t="s">
        <v>112</v>
      </c>
      <c r="H6" s="13" t="s">
        <v>76</v>
      </c>
      <c r="I6" s="12" t="s">
        <v>147</v>
      </c>
      <c r="J6" s="13"/>
      <c r="K6" s="11" t="str">
        <f>"142,5"</f>
        <v>142,5</v>
      </c>
      <c r="L6" s="12" t="str">
        <f>"128,5520"</f>
        <v>128,5520</v>
      </c>
      <c r="M6" s="11" t="s">
        <v>350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229</v>
      </c>
      <c r="B17" s="23"/>
    </row>
    <row r="18" spans="1:2" ht="14.25">
      <c r="A18" s="25"/>
      <c r="B18" s="26" t="s">
        <v>278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345</v>
      </c>
      <c r="B20" s="4" t="s">
        <v>351</v>
      </c>
      <c r="C20" s="4" t="s">
        <v>223</v>
      </c>
      <c r="D20" s="4" t="s">
        <v>147</v>
      </c>
      <c r="E20" s="28" t="s">
        <v>352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343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2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5.8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329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331</v>
      </c>
      <c r="B6" s="11" t="s">
        <v>332</v>
      </c>
      <c r="C6" s="11" t="s">
        <v>333</v>
      </c>
      <c r="D6" s="11" t="str">
        <f>"0,5853"</f>
        <v>0,5853</v>
      </c>
      <c r="E6" s="11" t="s">
        <v>334</v>
      </c>
      <c r="F6" s="11" t="s">
        <v>335</v>
      </c>
      <c r="G6" s="12" t="s">
        <v>336</v>
      </c>
      <c r="H6" s="12" t="s">
        <v>227</v>
      </c>
      <c r="I6" s="13" t="s">
        <v>176</v>
      </c>
      <c r="J6" s="13"/>
      <c r="K6" s="11" t="str">
        <f>"257,5"</f>
        <v>257,5</v>
      </c>
      <c r="L6" s="12" t="str">
        <f>"150,7148"</f>
        <v>150,7148</v>
      </c>
      <c r="M6" s="11" t="s">
        <v>159</v>
      </c>
    </row>
    <row r="8" spans="1:12" ht="15">
      <c r="A8" s="47" t="s">
        <v>160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338</v>
      </c>
      <c r="B9" s="11" t="s">
        <v>339</v>
      </c>
      <c r="C9" s="11" t="s">
        <v>340</v>
      </c>
      <c r="D9" s="11" t="str">
        <f>"0,5793"</f>
        <v>0,5793</v>
      </c>
      <c r="E9" s="11" t="s">
        <v>334</v>
      </c>
      <c r="F9" s="11" t="s">
        <v>335</v>
      </c>
      <c r="G9" s="12" t="s">
        <v>288</v>
      </c>
      <c r="H9" s="12" t="s">
        <v>171</v>
      </c>
      <c r="I9" s="13" t="s">
        <v>152</v>
      </c>
      <c r="J9" s="13"/>
      <c r="K9" s="11" t="str">
        <f>"227,5"</f>
        <v>227,5</v>
      </c>
      <c r="L9" s="12" t="str">
        <f>"131,7907"</f>
        <v>131,7907</v>
      </c>
      <c r="M9" s="11" t="s">
        <v>159</v>
      </c>
    </row>
    <row r="11" ht="15">
      <c r="E11" s="9" t="s">
        <v>14</v>
      </c>
    </row>
    <row r="12" ht="15">
      <c r="E12" s="9" t="s">
        <v>15</v>
      </c>
    </row>
    <row r="13" ht="15">
      <c r="E13" s="9" t="s">
        <v>16</v>
      </c>
    </row>
    <row r="14" ht="15">
      <c r="E14" s="9" t="s">
        <v>17</v>
      </c>
    </row>
    <row r="15" ht="15">
      <c r="E15" s="9" t="s">
        <v>17</v>
      </c>
    </row>
    <row r="16" ht="15">
      <c r="E16" s="9" t="s">
        <v>18</v>
      </c>
    </row>
    <row r="17" ht="15">
      <c r="E17" s="9"/>
    </row>
    <row r="19" spans="1:2" ht="18">
      <c r="A19" s="10" t="s">
        <v>19</v>
      </c>
      <c r="B19" s="10"/>
    </row>
    <row r="20" spans="1:2" ht="15">
      <c r="A20" s="23" t="s">
        <v>229</v>
      </c>
      <c r="B20" s="23"/>
    </row>
    <row r="21" spans="1:2" ht="14.25">
      <c r="A21" s="25"/>
      <c r="B21" s="26" t="s">
        <v>217</v>
      </c>
    </row>
    <row r="22" spans="1:5" ht="15">
      <c r="A22" s="27" t="s">
        <v>218</v>
      </c>
      <c r="B22" s="27" t="s">
        <v>219</v>
      </c>
      <c r="C22" s="27" t="s">
        <v>220</v>
      </c>
      <c r="D22" s="27" t="s">
        <v>221</v>
      </c>
      <c r="E22" s="27" t="s">
        <v>222</v>
      </c>
    </row>
    <row r="23" spans="1:5" ht="12.75">
      <c r="A23" s="24" t="s">
        <v>330</v>
      </c>
      <c r="B23" s="4" t="s">
        <v>217</v>
      </c>
      <c r="C23" s="4" t="s">
        <v>223</v>
      </c>
      <c r="D23" s="4" t="s">
        <v>227</v>
      </c>
      <c r="E23" s="28" t="s">
        <v>341</v>
      </c>
    </row>
    <row r="24" spans="1:5" ht="12.75">
      <c r="A24" s="24" t="s">
        <v>337</v>
      </c>
      <c r="B24" s="4" t="s">
        <v>217</v>
      </c>
      <c r="C24" s="4" t="s">
        <v>242</v>
      </c>
      <c r="D24" s="4" t="s">
        <v>171</v>
      </c>
      <c r="E24" s="28" t="s">
        <v>342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8.3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7.625" style="3" bestFit="1" customWidth="1"/>
    <col min="13" max="13" width="11.25390625" style="4" bestFit="1" customWidth="1"/>
    <col min="14" max="16384" width="9.125" style="3" customWidth="1"/>
  </cols>
  <sheetData>
    <row r="1" spans="1:13" s="2" customFormat="1" ht="28.5" customHeight="1">
      <c r="A1" s="44" t="s">
        <v>312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313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314</v>
      </c>
      <c r="B6" s="11" t="s">
        <v>315</v>
      </c>
      <c r="C6" s="11" t="s">
        <v>316</v>
      </c>
      <c r="D6" s="11" t="str">
        <f>"0,8242"</f>
        <v>0,8242</v>
      </c>
      <c r="E6" s="11" t="s">
        <v>317</v>
      </c>
      <c r="F6" s="11" t="s">
        <v>318</v>
      </c>
      <c r="G6" s="13" t="s">
        <v>43</v>
      </c>
      <c r="H6" s="13" t="s">
        <v>43</v>
      </c>
      <c r="I6" s="13" t="s">
        <v>43</v>
      </c>
      <c r="J6" s="13"/>
      <c r="K6" s="11" t="str">
        <f>"0.00"</f>
        <v>0.00</v>
      </c>
      <c r="L6" s="12" t="str">
        <f>"0,0000"</f>
        <v>0,0000</v>
      </c>
      <c r="M6" s="11" t="s">
        <v>319</v>
      </c>
    </row>
    <row r="8" spans="1:12" ht="15">
      <c r="A8" s="47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321</v>
      </c>
      <c r="B9" s="11" t="s">
        <v>322</v>
      </c>
      <c r="C9" s="11" t="s">
        <v>323</v>
      </c>
      <c r="D9" s="11" t="str">
        <f>"0,6774"</f>
        <v>0,6774</v>
      </c>
      <c r="E9" s="11" t="s">
        <v>324</v>
      </c>
      <c r="F9" s="11" t="s">
        <v>325</v>
      </c>
      <c r="G9" s="12" t="s">
        <v>326</v>
      </c>
      <c r="H9" s="13" t="s">
        <v>112</v>
      </c>
      <c r="I9" s="13" t="s">
        <v>112</v>
      </c>
      <c r="J9" s="13"/>
      <c r="K9" s="11" t="str">
        <f>"112,5"</f>
        <v>112,5</v>
      </c>
      <c r="L9" s="12" t="str">
        <f>"76,2075"</f>
        <v>76,2075</v>
      </c>
      <c r="M9" s="11" t="s">
        <v>159</v>
      </c>
    </row>
    <row r="11" ht="15">
      <c r="E11" s="9" t="s">
        <v>14</v>
      </c>
    </row>
    <row r="12" ht="15">
      <c r="E12" s="9" t="s">
        <v>15</v>
      </c>
    </row>
    <row r="13" ht="15">
      <c r="E13" s="9" t="s">
        <v>16</v>
      </c>
    </row>
    <row r="14" ht="15">
      <c r="E14" s="9" t="s">
        <v>17</v>
      </c>
    </row>
    <row r="15" ht="15">
      <c r="E15" s="9" t="s">
        <v>17</v>
      </c>
    </row>
    <row r="16" ht="15">
      <c r="E16" s="9" t="s">
        <v>18</v>
      </c>
    </row>
    <row r="17" ht="15">
      <c r="E17" s="9"/>
    </row>
    <row r="19" spans="1:2" ht="18">
      <c r="A19" s="10" t="s">
        <v>19</v>
      </c>
      <c r="B19" s="10"/>
    </row>
    <row r="20" spans="1:2" ht="15">
      <c r="A20" s="23" t="s">
        <v>229</v>
      </c>
      <c r="B20" s="23"/>
    </row>
    <row r="21" spans="1:2" ht="14.25">
      <c r="A21" s="25"/>
      <c r="B21" s="26" t="s">
        <v>278</v>
      </c>
    </row>
    <row r="22" spans="1:5" ht="15">
      <c r="A22" s="27" t="s">
        <v>218</v>
      </c>
      <c r="B22" s="27" t="s">
        <v>219</v>
      </c>
      <c r="C22" s="27" t="s">
        <v>220</v>
      </c>
      <c r="D22" s="27" t="s">
        <v>221</v>
      </c>
      <c r="E22" s="27" t="s">
        <v>222</v>
      </c>
    </row>
    <row r="23" spans="1:5" ht="12.75">
      <c r="A23" s="24" t="s">
        <v>320</v>
      </c>
      <c r="B23" s="4" t="s">
        <v>279</v>
      </c>
      <c r="C23" s="4" t="s">
        <v>226</v>
      </c>
      <c r="D23" s="4" t="s">
        <v>326</v>
      </c>
      <c r="E23" s="28" t="s">
        <v>327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311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8.7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4.125" style="4" bestFit="1" customWidth="1"/>
    <col min="14" max="16384" width="9.125" style="3" customWidth="1"/>
  </cols>
  <sheetData>
    <row r="1" spans="1:13" s="2" customFormat="1" ht="28.5" customHeight="1">
      <c r="A1" s="44" t="s">
        <v>680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681</v>
      </c>
      <c r="B6" s="11" t="s">
        <v>298</v>
      </c>
      <c r="C6" s="11" t="s">
        <v>299</v>
      </c>
      <c r="D6" s="11" t="str">
        <f>"0,6708"</f>
        <v>0,6708</v>
      </c>
      <c r="E6" s="11" t="s">
        <v>300</v>
      </c>
      <c r="F6" s="11" t="s">
        <v>301</v>
      </c>
      <c r="G6" s="12" t="s">
        <v>142</v>
      </c>
      <c r="H6" s="12" t="s">
        <v>182</v>
      </c>
      <c r="I6" s="12" t="s">
        <v>113</v>
      </c>
      <c r="J6" s="13"/>
      <c r="K6" s="11" t="str">
        <f>"210,0"</f>
        <v>210,0</v>
      </c>
      <c r="L6" s="12" t="str">
        <f>"140,8680"</f>
        <v>140,8680</v>
      </c>
      <c r="M6" s="11" t="s">
        <v>303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229</v>
      </c>
      <c r="B17" s="23"/>
    </row>
    <row r="18" spans="1:2" ht="14.25">
      <c r="A18" s="25"/>
      <c r="B18" s="26" t="s">
        <v>217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296</v>
      </c>
      <c r="B20" s="4" t="s">
        <v>217</v>
      </c>
      <c r="C20" s="4" t="s">
        <v>226</v>
      </c>
      <c r="D20" s="4" t="s">
        <v>113</v>
      </c>
      <c r="E20" s="28" t="s">
        <v>682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H6" sqref="H6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9.1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4.125" style="4" bestFit="1" customWidth="1"/>
    <col min="22" max="16384" width="9.125" style="3" customWidth="1"/>
  </cols>
  <sheetData>
    <row r="1" spans="1:21" s="2" customFormat="1" ht="28.5" customHeight="1">
      <c r="A1" s="44" t="s">
        <v>295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28</v>
      </c>
      <c r="L3" s="43"/>
      <c r="M3" s="43"/>
      <c r="N3" s="43"/>
      <c r="O3" s="43" t="s">
        <v>29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5" spans="1:20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1" t="s">
        <v>297</v>
      </c>
      <c r="B6" s="11" t="s">
        <v>298</v>
      </c>
      <c r="C6" s="11" t="s">
        <v>299</v>
      </c>
      <c r="D6" s="11" t="str">
        <f>"0,6708"</f>
        <v>0,6708</v>
      </c>
      <c r="E6" s="11" t="s">
        <v>300</v>
      </c>
      <c r="F6" s="11" t="s">
        <v>301</v>
      </c>
      <c r="G6" s="13" t="s">
        <v>142</v>
      </c>
      <c r="H6" s="13"/>
      <c r="I6" s="13"/>
      <c r="J6" s="13"/>
      <c r="K6" s="13" t="s">
        <v>302</v>
      </c>
      <c r="L6" s="13"/>
      <c r="M6" s="13"/>
      <c r="N6" s="13"/>
      <c r="O6" s="13" t="s">
        <v>288</v>
      </c>
      <c r="P6" s="13"/>
      <c r="Q6" s="13"/>
      <c r="R6" s="13"/>
      <c r="S6" s="11" t="str">
        <f>"0.00"</f>
        <v>0.00</v>
      </c>
      <c r="T6" s="12" t="str">
        <f>"0,0000"</f>
        <v>0,0000</v>
      </c>
      <c r="U6" s="11" t="s">
        <v>303</v>
      </c>
    </row>
    <row r="8" spans="1:20" ht="15">
      <c r="A8" s="47" t="s">
        <v>202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11" t="s">
        <v>305</v>
      </c>
      <c r="B9" s="11" t="s">
        <v>306</v>
      </c>
      <c r="C9" s="11" t="s">
        <v>307</v>
      </c>
      <c r="D9" s="11" t="str">
        <f>"0,5230"</f>
        <v>0,5230</v>
      </c>
      <c r="E9" s="11" t="s">
        <v>52</v>
      </c>
      <c r="F9" s="11" t="s">
        <v>53</v>
      </c>
      <c r="G9" s="12" t="s">
        <v>113</v>
      </c>
      <c r="H9" s="13" t="s">
        <v>114</v>
      </c>
      <c r="I9" s="12" t="s">
        <v>115</v>
      </c>
      <c r="J9" s="13"/>
      <c r="K9" s="12" t="s">
        <v>158</v>
      </c>
      <c r="L9" s="13" t="s">
        <v>97</v>
      </c>
      <c r="M9" s="12" t="s">
        <v>97</v>
      </c>
      <c r="N9" s="13"/>
      <c r="O9" s="12" t="s">
        <v>113</v>
      </c>
      <c r="P9" s="12" t="s">
        <v>207</v>
      </c>
      <c r="Q9" s="12" t="s">
        <v>152</v>
      </c>
      <c r="R9" s="13"/>
      <c r="S9" s="11" t="str">
        <f>"665,0"</f>
        <v>665,0</v>
      </c>
      <c r="T9" s="12" t="str">
        <f>"347,7950"</f>
        <v>347,7950</v>
      </c>
      <c r="U9" s="11" t="s">
        <v>308</v>
      </c>
    </row>
    <row r="11" ht="15">
      <c r="E11" s="9" t="s">
        <v>14</v>
      </c>
    </row>
    <row r="12" ht="15">
      <c r="E12" s="9" t="s">
        <v>15</v>
      </c>
    </row>
    <row r="13" ht="15">
      <c r="E13" s="9" t="s">
        <v>16</v>
      </c>
    </row>
    <row r="14" ht="15">
      <c r="E14" s="9" t="s">
        <v>17</v>
      </c>
    </row>
    <row r="15" ht="15">
      <c r="E15" s="9" t="s">
        <v>17</v>
      </c>
    </row>
    <row r="16" ht="15">
      <c r="E16" s="9" t="s">
        <v>18</v>
      </c>
    </row>
    <row r="17" ht="15">
      <c r="E17" s="9"/>
    </row>
    <row r="19" spans="1:2" ht="18">
      <c r="A19" s="10" t="s">
        <v>19</v>
      </c>
      <c r="B19" s="10"/>
    </row>
    <row r="20" spans="1:2" ht="15">
      <c r="A20" s="23" t="s">
        <v>229</v>
      </c>
      <c r="B20" s="23"/>
    </row>
    <row r="21" spans="1:2" ht="14.25">
      <c r="A21" s="25"/>
      <c r="B21" s="26" t="s">
        <v>217</v>
      </c>
    </row>
    <row r="22" spans="1:5" ht="15">
      <c r="A22" s="27" t="s">
        <v>218</v>
      </c>
      <c r="B22" s="27" t="s">
        <v>219</v>
      </c>
      <c r="C22" s="27" t="s">
        <v>220</v>
      </c>
      <c r="D22" s="27" t="s">
        <v>221</v>
      </c>
      <c r="E22" s="27" t="s">
        <v>222</v>
      </c>
    </row>
    <row r="23" spans="1:5" ht="12.75">
      <c r="A23" s="24" t="s">
        <v>304</v>
      </c>
      <c r="B23" s="4" t="s">
        <v>217</v>
      </c>
      <c r="C23" s="4" t="s">
        <v>260</v>
      </c>
      <c r="D23" s="4" t="s">
        <v>309</v>
      </c>
      <c r="E23" s="28" t="s">
        <v>310</v>
      </c>
    </row>
  </sheetData>
  <sheetProtection/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5.87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6" width="5.625" style="3" bestFit="1" customWidth="1"/>
    <col min="17" max="17" width="2.1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282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28</v>
      </c>
      <c r="L3" s="43"/>
      <c r="M3" s="43"/>
      <c r="N3" s="43"/>
      <c r="O3" s="43" t="s">
        <v>29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5" spans="1:20" ht="15">
      <c r="A5" s="45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4" t="s">
        <v>284</v>
      </c>
      <c r="B6" s="14" t="s">
        <v>285</v>
      </c>
      <c r="C6" s="14" t="s">
        <v>286</v>
      </c>
      <c r="D6" s="14" t="str">
        <f>"0,5857"</f>
        <v>0,5857</v>
      </c>
      <c r="E6" s="14" t="s">
        <v>287</v>
      </c>
      <c r="F6" s="14" t="s">
        <v>170</v>
      </c>
      <c r="G6" s="15" t="s">
        <v>288</v>
      </c>
      <c r="H6" s="16" t="s">
        <v>289</v>
      </c>
      <c r="I6" s="16" t="s">
        <v>289</v>
      </c>
      <c r="J6" s="16"/>
      <c r="K6" s="15" t="s">
        <v>136</v>
      </c>
      <c r="L6" s="15" t="s">
        <v>110</v>
      </c>
      <c r="M6" s="16" t="s">
        <v>199</v>
      </c>
      <c r="N6" s="16"/>
      <c r="O6" s="15" t="s">
        <v>290</v>
      </c>
      <c r="P6" s="15" t="s">
        <v>291</v>
      </c>
      <c r="Q6" s="16"/>
      <c r="R6" s="16"/>
      <c r="S6" s="14" t="str">
        <f>"630,0"</f>
        <v>630,0</v>
      </c>
      <c r="T6" s="15" t="str">
        <f>"368,9910"</f>
        <v>368,9910</v>
      </c>
      <c r="U6" s="14" t="s">
        <v>159</v>
      </c>
    </row>
    <row r="7" spans="1:21" ht="12.75">
      <c r="A7" s="17" t="s">
        <v>292</v>
      </c>
      <c r="B7" s="17" t="s">
        <v>155</v>
      </c>
      <c r="C7" s="17" t="s">
        <v>156</v>
      </c>
      <c r="D7" s="17" t="str">
        <f>"0,5943"</f>
        <v>0,5943</v>
      </c>
      <c r="E7" s="17" t="s">
        <v>52</v>
      </c>
      <c r="F7" s="17" t="s">
        <v>157</v>
      </c>
      <c r="G7" s="19" t="s">
        <v>92</v>
      </c>
      <c r="H7" s="19"/>
      <c r="I7" s="19"/>
      <c r="J7" s="19"/>
      <c r="K7" s="19" t="s">
        <v>55</v>
      </c>
      <c r="L7" s="19"/>
      <c r="M7" s="19"/>
      <c r="N7" s="19"/>
      <c r="O7" s="19" t="s">
        <v>96</v>
      </c>
      <c r="P7" s="19"/>
      <c r="Q7" s="19"/>
      <c r="R7" s="19"/>
      <c r="S7" s="17" t="str">
        <f>"0.00"</f>
        <v>0.00</v>
      </c>
      <c r="T7" s="18" t="str">
        <f>"0,0000"</f>
        <v>0,0000</v>
      </c>
      <c r="U7" s="17" t="s">
        <v>159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17</v>
      </c>
    </row>
    <row r="13" ht="15">
      <c r="E13" s="9" t="s">
        <v>17</v>
      </c>
    </row>
    <row r="14" ht="15">
      <c r="E14" s="9" t="s">
        <v>18</v>
      </c>
    </row>
    <row r="15" ht="15">
      <c r="E15" s="9"/>
    </row>
    <row r="17" spans="1:2" ht="18">
      <c r="A17" s="10" t="s">
        <v>19</v>
      </c>
      <c r="B17" s="10"/>
    </row>
    <row r="18" spans="1:2" ht="15">
      <c r="A18" s="23" t="s">
        <v>229</v>
      </c>
      <c r="B18" s="23"/>
    </row>
    <row r="19" spans="1:2" ht="14.25">
      <c r="A19" s="25"/>
      <c r="B19" s="26" t="s">
        <v>217</v>
      </c>
    </row>
    <row r="20" spans="1:5" ht="15">
      <c r="A20" s="27" t="s">
        <v>218</v>
      </c>
      <c r="B20" s="27" t="s">
        <v>219</v>
      </c>
      <c r="C20" s="27" t="s">
        <v>220</v>
      </c>
      <c r="D20" s="27" t="s">
        <v>221</v>
      </c>
      <c r="E20" s="27" t="s">
        <v>222</v>
      </c>
    </row>
    <row r="21" spans="1:5" ht="12.75">
      <c r="A21" s="24" t="s">
        <v>283</v>
      </c>
      <c r="B21" s="4" t="s">
        <v>217</v>
      </c>
      <c r="C21" s="4" t="s">
        <v>223</v>
      </c>
      <c r="D21" s="4" t="s">
        <v>293</v>
      </c>
      <c r="E21" s="28" t="s">
        <v>294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zoomScalePageLayoutView="0" workbookViewId="0" topLeftCell="A4">
      <selection activeCell="B21" sqref="B21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1.75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7.625" style="4" bestFit="1" customWidth="1"/>
    <col min="22" max="16384" width="9.125" style="3" customWidth="1"/>
  </cols>
  <sheetData>
    <row r="1" spans="1:21" s="2" customFormat="1" ht="28.5" customHeight="1">
      <c r="A1" s="4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28</v>
      </c>
      <c r="L3" s="43"/>
      <c r="M3" s="43"/>
      <c r="N3" s="43"/>
      <c r="O3" s="43" t="s">
        <v>29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5" spans="1:20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1" t="s">
        <v>32</v>
      </c>
      <c r="B6" s="11" t="s">
        <v>33</v>
      </c>
      <c r="C6" s="11" t="s">
        <v>34</v>
      </c>
      <c r="D6" s="11" t="str">
        <f>"0,7584"</f>
        <v>0,7584</v>
      </c>
      <c r="E6" s="11" t="s">
        <v>35</v>
      </c>
      <c r="F6" s="11" t="s">
        <v>36</v>
      </c>
      <c r="G6" s="12" t="s">
        <v>37</v>
      </c>
      <c r="H6" s="12" t="s">
        <v>38</v>
      </c>
      <c r="I6" s="12" t="s">
        <v>39</v>
      </c>
      <c r="J6" s="13"/>
      <c r="K6" s="12" t="s">
        <v>40</v>
      </c>
      <c r="L6" s="12" t="s">
        <v>41</v>
      </c>
      <c r="M6" s="13" t="s">
        <v>42</v>
      </c>
      <c r="N6" s="13"/>
      <c r="O6" s="12" t="s">
        <v>43</v>
      </c>
      <c r="P6" s="12" t="s">
        <v>44</v>
      </c>
      <c r="Q6" s="12" t="s">
        <v>45</v>
      </c>
      <c r="R6" s="13"/>
      <c r="S6" s="11" t="str">
        <f>"257,5"</f>
        <v>257,5</v>
      </c>
      <c r="T6" s="12" t="str">
        <f>"195,3009"</f>
        <v>195,3009</v>
      </c>
      <c r="U6" s="11" t="s">
        <v>46</v>
      </c>
    </row>
    <row r="8" spans="1:20" ht="15">
      <c r="A8" s="47" t="s">
        <v>47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11" t="s">
        <v>49</v>
      </c>
      <c r="B9" s="11" t="s">
        <v>50</v>
      </c>
      <c r="C9" s="11" t="s">
        <v>51</v>
      </c>
      <c r="D9" s="11" t="str">
        <f>"0,6563"</f>
        <v>0,6563</v>
      </c>
      <c r="E9" s="11" t="s">
        <v>52</v>
      </c>
      <c r="F9" s="11" t="s">
        <v>53</v>
      </c>
      <c r="G9" s="12" t="s">
        <v>45</v>
      </c>
      <c r="H9" s="12" t="s">
        <v>54</v>
      </c>
      <c r="I9" s="12" t="s">
        <v>55</v>
      </c>
      <c r="J9" s="13"/>
      <c r="K9" s="12" t="s">
        <v>56</v>
      </c>
      <c r="L9" s="12" t="s">
        <v>40</v>
      </c>
      <c r="M9" s="12" t="s">
        <v>42</v>
      </c>
      <c r="N9" s="13"/>
      <c r="O9" s="12" t="s">
        <v>54</v>
      </c>
      <c r="P9" s="12" t="s">
        <v>55</v>
      </c>
      <c r="Q9" s="12" t="s">
        <v>57</v>
      </c>
      <c r="R9" s="13"/>
      <c r="S9" s="11" t="str">
        <f>"315,0"</f>
        <v>315,0</v>
      </c>
      <c r="T9" s="12" t="str">
        <f>"206,7345"</f>
        <v>206,7345</v>
      </c>
      <c r="U9" s="11" t="s">
        <v>58</v>
      </c>
    </row>
    <row r="11" spans="1:20" ht="15">
      <c r="A11" s="47" t="s">
        <v>59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1" ht="12.75">
      <c r="A12" s="11" t="s">
        <v>61</v>
      </c>
      <c r="B12" s="11" t="s">
        <v>62</v>
      </c>
      <c r="C12" s="11" t="s">
        <v>63</v>
      </c>
      <c r="D12" s="11" t="str">
        <f>"0,8943"</f>
        <v>0,8943</v>
      </c>
      <c r="E12" s="11" t="s">
        <v>64</v>
      </c>
      <c r="F12" s="11" t="s">
        <v>65</v>
      </c>
      <c r="G12" s="12" t="s">
        <v>56</v>
      </c>
      <c r="H12" s="12" t="s">
        <v>42</v>
      </c>
      <c r="I12" s="12" t="s">
        <v>66</v>
      </c>
      <c r="J12" s="13"/>
      <c r="K12" s="13" t="s">
        <v>67</v>
      </c>
      <c r="L12" s="12" t="s">
        <v>67</v>
      </c>
      <c r="M12" s="12" t="s">
        <v>40</v>
      </c>
      <c r="N12" s="13"/>
      <c r="O12" s="12" t="s">
        <v>56</v>
      </c>
      <c r="P12" s="12" t="s">
        <v>68</v>
      </c>
      <c r="Q12" s="12" t="s">
        <v>66</v>
      </c>
      <c r="R12" s="13"/>
      <c r="S12" s="11" t="str">
        <f>"205,0"</f>
        <v>205,0</v>
      </c>
      <c r="T12" s="12" t="str">
        <f>"216,3312"</f>
        <v>216,3312</v>
      </c>
      <c r="U12" s="11" t="s">
        <v>69</v>
      </c>
    </row>
    <row r="14" spans="1:20" ht="15">
      <c r="A14" s="47" t="s">
        <v>70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 ht="12.75">
      <c r="A15" s="14" t="s">
        <v>72</v>
      </c>
      <c r="B15" s="14" t="s">
        <v>73</v>
      </c>
      <c r="C15" s="14" t="s">
        <v>74</v>
      </c>
      <c r="D15" s="14" t="str">
        <f>"0,7429"</f>
        <v>0,7429</v>
      </c>
      <c r="E15" s="14" t="s">
        <v>64</v>
      </c>
      <c r="F15" s="14" t="s">
        <v>65</v>
      </c>
      <c r="G15" s="15" t="s">
        <v>39</v>
      </c>
      <c r="H15" s="15" t="s">
        <v>43</v>
      </c>
      <c r="I15" s="15" t="s">
        <v>45</v>
      </c>
      <c r="J15" s="16"/>
      <c r="K15" s="15" t="s">
        <v>42</v>
      </c>
      <c r="L15" s="16" t="s">
        <v>68</v>
      </c>
      <c r="M15" s="15" t="s">
        <v>75</v>
      </c>
      <c r="N15" s="16"/>
      <c r="O15" s="15" t="s">
        <v>54</v>
      </c>
      <c r="P15" s="15" t="s">
        <v>57</v>
      </c>
      <c r="Q15" s="15" t="s">
        <v>76</v>
      </c>
      <c r="R15" s="16"/>
      <c r="S15" s="14" t="str">
        <f>"315,0"</f>
        <v>315,0</v>
      </c>
      <c r="T15" s="15" t="str">
        <f>"264,4353"</f>
        <v>264,4353</v>
      </c>
      <c r="U15" s="14" t="s">
        <v>69</v>
      </c>
    </row>
    <row r="16" spans="1:21" ht="12.75">
      <c r="A16" s="17" t="s">
        <v>78</v>
      </c>
      <c r="B16" s="17" t="s">
        <v>79</v>
      </c>
      <c r="C16" s="17" t="s">
        <v>80</v>
      </c>
      <c r="D16" s="17" t="str">
        <f>"0,7481"</f>
        <v>0,7481</v>
      </c>
      <c r="E16" s="17" t="s">
        <v>81</v>
      </c>
      <c r="F16" s="17" t="s">
        <v>82</v>
      </c>
      <c r="G16" s="18" t="s">
        <v>38</v>
      </c>
      <c r="H16" s="18" t="s">
        <v>83</v>
      </c>
      <c r="I16" s="18" t="s">
        <v>43</v>
      </c>
      <c r="J16" s="19"/>
      <c r="K16" s="18" t="s">
        <v>75</v>
      </c>
      <c r="L16" s="18" t="s">
        <v>37</v>
      </c>
      <c r="M16" s="18" t="s">
        <v>38</v>
      </c>
      <c r="N16" s="19"/>
      <c r="O16" s="18" t="s">
        <v>54</v>
      </c>
      <c r="P16" s="18" t="s">
        <v>84</v>
      </c>
      <c r="Q16" s="18" t="s">
        <v>85</v>
      </c>
      <c r="R16" s="19"/>
      <c r="S16" s="17" t="str">
        <f>"322,5"</f>
        <v>322,5</v>
      </c>
      <c r="T16" s="18" t="str">
        <f>"246,0875"</f>
        <v>246,0875</v>
      </c>
      <c r="U16" s="17" t="s">
        <v>86</v>
      </c>
    </row>
    <row r="18" spans="1:20" ht="15">
      <c r="A18" s="47" t="s">
        <v>30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1" ht="12.75">
      <c r="A19" s="14" t="s">
        <v>88</v>
      </c>
      <c r="B19" s="14" t="s">
        <v>89</v>
      </c>
      <c r="C19" s="14" t="s">
        <v>90</v>
      </c>
      <c r="D19" s="14" t="str">
        <f>"0,6673"</f>
        <v>0,6673</v>
      </c>
      <c r="E19" s="14" t="s">
        <v>91</v>
      </c>
      <c r="F19" s="14" t="s">
        <v>53</v>
      </c>
      <c r="G19" s="15" t="s">
        <v>92</v>
      </c>
      <c r="H19" s="15" t="s">
        <v>93</v>
      </c>
      <c r="I19" s="16" t="s">
        <v>94</v>
      </c>
      <c r="J19" s="16"/>
      <c r="K19" s="15" t="s">
        <v>45</v>
      </c>
      <c r="L19" s="16" t="s">
        <v>95</v>
      </c>
      <c r="M19" s="16" t="s">
        <v>95</v>
      </c>
      <c r="N19" s="16"/>
      <c r="O19" s="15" t="s">
        <v>96</v>
      </c>
      <c r="P19" s="15" t="s">
        <v>97</v>
      </c>
      <c r="Q19" s="16" t="s">
        <v>98</v>
      </c>
      <c r="R19" s="16"/>
      <c r="S19" s="14" t="str">
        <f>"470,0"</f>
        <v>470,0</v>
      </c>
      <c r="T19" s="15" t="str">
        <f>"338,7215"</f>
        <v>338,7215</v>
      </c>
      <c r="U19" s="14" t="s">
        <v>99</v>
      </c>
    </row>
    <row r="20" spans="1:21" ht="12.75">
      <c r="A20" s="20" t="s">
        <v>100</v>
      </c>
      <c r="B20" s="20" t="s">
        <v>101</v>
      </c>
      <c r="C20" s="20" t="s">
        <v>102</v>
      </c>
      <c r="D20" s="20" t="str">
        <f>"0,6659"</f>
        <v>0,6659</v>
      </c>
      <c r="E20" s="20" t="s">
        <v>81</v>
      </c>
      <c r="F20" s="20" t="s">
        <v>82</v>
      </c>
      <c r="G20" s="21" t="s">
        <v>38</v>
      </c>
      <c r="H20" s="21" t="s">
        <v>38</v>
      </c>
      <c r="I20" s="21" t="s">
        <v>38</v>
      </c>
      <c r="J20" s="21"/>
      <c r="K20" s="21" t="s">
        <v>103</v>
      </c>
      <c r="L20" s="21"/>
      <c r="M20" s="21"/>
      <c r="N20" s="21"/>
      <c r="O20" s="21" t="s">
        <v>43</v>
      </c>
      <c r="P20" s="21"/>
      <c r="Q20" s="21"/>
      <c r="R20" s="21"/>
      <c r="S20" s="20" t="str">
        <f>"0.00"</f>
        <v>0.00</v>
      </c>
      <c r="T20" s="22" t="str">
        <f>"0,0000"</f>
        <v>0,0000</v>
      </c>
      <c r="U20" s="20" t="s">
        <v>86</v>
      </c>
    </row>
    <row r="21" spans="1:21" ht="12.75">
      <c r="A21" s="20" t="s">
        <v>105</v>
      </c>
      <c r="B21" s="20" t="s">
        <v>106</v>
      </c>
      <c r="C21" s="20" t="s">
        <v>107</v>
      </c>
      <c r="D21" s="20" t="str">
        <f>"0,6805"</f>
        <v>0,6805</v>
      </c>
      <c r="E21" s="20" t="s">
        <v>108</v>
      </c>
      <c r="F21" s="20" t="s">
        <v>109</v>
      </c>
      <c r="G21" s="22" t="s">
        <v>110</v>
      </c>
      <c r="H21" s="22" t="s">
        <v>94</v>
      </c>
      <c r="I21" s="21" t="s">
        <v>111</v>
      </c>
      <c r="J21" s="21"/>
      <c r="K21" s="22" t="s">
        <v>95</v>
      </c>
      <c r="L21" s="22" t="s">
        <v>54</v>
      </c>
      <c r="M21" s="21" t="s">
        <v>112</v>
      </c>
      <c r="N21" s="21"/>
      <c r="O21" s="22" t="s">
        <v>113</v>
      </c>
      <c r="P21" s="22" t="s">
        <v>114</v>
      </c>
      <c r="Q21" s="22" t="s">
        <v>115</v>
      </c>
      <c r="R21" s="21"/>
      <c r="S21" s="20" t="str">
        <f>"520,0"</f>
        <v>520,0</v>
      </c>
      <c r="T21" s="22" t="str">
        <f>"357,3986"</f>
        <v>357,3986</v>
      </c>
      <c r="U21" s="20" t="s">
        <v>116</v>
      </c>
    </row>
    <row r="22" spans="1:21" ht="12.75">
      <c r="A22" s="20" t="s">
        <v>118</v>
      </c>
      <c r="B22" s="20" t="s">
        <v>119</v>
      </c>
      <c r="C22" s="20" t="s">
        <v>90</v>
      </c>
      <c r="D22" s="20" t="str">
        <f>"0,6673"</f>
        <v>0,6673</v>
      </c>
      <c r="E22" s="20" t="s">
        <v>35</v>
      </c>
      <c r="F22" s="20" t="s">
        <v>36</v>
      </c>
      <c r="G22" s="22" t="s">
        <v>92</v>
      </c>
      <c r="H22" s="21" t="s">
        <v>120</v>
      </c>
      <c r="I22" s="22" t="s">
        <v>120</v>
      </c>
      <c r="J22" s="21"/>
      <c r="K22" s="22" t="s">
        <v>121</v>
      </c>
      <c r="L22" s="22" t="s">
        <v>112</v>
      </c>
      <c r="M22" s="22" t="s">
        <v>55</v>
      </c>
      <c r="N22" s="21"/>
      <c r="O22" s="22" t="s">
        <v>122</v>
      </c>
      <c r="P22" s="22" t="s">
        <v>123</v>
      </c>
      <c r="Q22" s="22" t="s">
        <v>113</v>
      </c>
      <c r="R22" s="21"/>
      <c r="S22" s="20" t="str">
        <f>"497,5"</f>
        <v>497,5</v>
      </c>
      <c r="T22" s="22" t="str">
        <f>"331,9817"</f>
        <v>331,9817</v>
      </c>
      <c r="U22" s="20" t="s">
        <v>46</v>
      </c>
    </row>
    <row r="23" spans="1:21" ht="12.75">
      <c r="A23" s="20" t="s">
        <v>125</v>
      </c>
      <c r="B23" s="20" t="s">
        <v>126</v>
      </c>
      <c r="C23" s="20" t="s">
        <v>127</v>
      </c>
      <c r="D23" s="20" t="str">
        <f>"0,6828"</f>
        <v>0,6828</v>
      </c>
      <c r="E23" s="20" t="s">
        <v>35</v>
      </c>
      <c r="F23" s="20" t="s">
        <v>36</v>
      </c>
      <c r="G23" s="22" t="s">
        <v>76</v>
      </c>
      <c r="H23" s="21" t="s">
        <v>128</v>
      </c>
      <c r="I23" s="21" t="s">
        <v>128</v>
      </c>
      <c r="J23" s="21"/>
      <c r="K23" s="22" t="s">
        <v>39</v>
      </c>
      <c r="L23" s="22" t="s">
        <v>129</v>
      </c>
      <c r="M23" s="21" t="s">
        <v>43</v>
      </c>
      <c r="N23" s="21"/>
      <c r="O23" s="21" t="s">
        <v>94</v>
      </c>
      <c r="P23" s="22" t="s">
        <v>96</v>
      </c>
      <c r="Q23" s="22" t="s">
        <v>130</v>
      </c>
      <c r="R23" s="21"/>
      <c r="S23" s="20" t="str">
        <f>"417,5"</f>
        <v>417,5</v>
      </c>
      <c r="T23" s="22" t="str">
        <f>"285,0690"</f>
        <v>285,0690</v>
      </c>
      <c r="U23" s="20" t="s">
        <v>46</v>
      </c>
    </row>
    <row r="24" spans="1:21" ht="12.75">
      <c r="A24" s="17" t="s">
        <v>132</v>
      </c>
      <c r="B24" s="17" t="s">
        <v>133</v>
      </c>
      <c r="C24" s="17" t="s">
        <v>134</v>
      </c>
      <c r="D24" s="17" t="str">
        <f>"0,6730"</f>
        <v>0,6730</v>
      </c>
      <c r="E24" s="17" t="s">
        <v>35</v>
      </c>
      <c r="F24" s="17" t="s">
        <v>36</v>
      </c>
      <c r="G24" s="18" t="s">
        <v>128</v>
      </c>
      <c r="H24" s="18" t="s">
        <v>135</v>
      </c>
      <c r="I24" s="19" t="s">
        <v>92</v>
      </c>
      <c r="J24" s="19"/>
      <c r="K24" s="18" t="s">
        <v>129</v>
      </c>
      <c r="L24" s="18" t="s">
        <v>43</v>
      </c>
      <c r="M24" s="19" t="s">
        <v>44</v>
      </c>
      <c r="N24" s="19"/>
      <c r="O24" s="18" t="s">
        <v>128</v>
      </c>
      <c r="P24" s="18" t="s">
        <v>136</v>
      </c>
      <c r="Q24" s="19" t="s">
        <v>92</v>
      </c>
      <c r="R24" s="19"/>
      <c r="S24" s="17" t="str">
        <f>"397,5"</f>
        <v>397,5</v>
      </c>
      <c r="T24" s="18" t="str">
        <f>"267,5175"</f>
        <v>267,5175</v>
      </c>
      <c r="U24" s="17" t="s">
        <v>46</v>
      </c>
    </row>
    <row r="26" spans="1:20" ht="15">
      <c r="A26" s="47" t="s">
        <v>137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1:21" ht="12.75">
      <c r="A27" s="14" t="s">
        <v>139</v>
      </c>
      <c r="B27" s="14" t="s">
        <v>140</v>
      </c>
      <c r="C27" s="14" t="s">
        <v>141</v>
      </c>
      <c r="D27" s="14" t="str">
        <f>"0,6219"</f>
        <v>0,6219</v>
      </c>
      <c r="E27" s="14" t="s">
        <v>64</v>
      </c>
      <c r="F27" s="14" t="s">
        <v>65</v>
      </c>
      <c r="G27" s="15" t="s">
        <v>128</v>
      </c>
      <c r="H27" s="15" t="s">
        <v>92</v>
      </c>
      <c r="I27" s="15" t="s">
        <v>93</v>
      </c>
      <c r="J27" s="16"/>
      <c r="K27" s="15" t="s">
        <v>75</v>
      </c>
      <c r="L27" s="15" t="s">
        <v>38</v>
      </c>
      <c r="M27" s="16" t="s">
        <v>39</v>
      </c>
      <c r="N27" s="16"/>
      <c r="O27" s="15" t="s">
        <v>94</v>
      </c>
      <c r="P27" s="15" t="s">
        <v>96</v>
      </c>
      <c r="Q27" s="15" t="s">
        <v>142</v>
      </c>
      <c r="R27" s="16"/>
      <c r="S27" s="14" t="str">
        <f>"440,0"</f>
        <v>440,0</v>
      </c>
      <c r="T27" s="15" t="str">
        <f>"295,5269"</f>
        <v>295,5269</v>
      </c>
      <c r="U27" s="14" t="s">
        <v>69</v>
      </c>
    </row>
    <row r="28" spans="1:21" ht="12.75">
      <c r="A28" s="17" t="s">
        <v>144</v>
      </c>
      <c r="B28" s="17" t="s">
        <v>145</v>
      </c>
      <c r="C28" s="17" t="s">
        <v>146</v>
      </c>
      <c r="D28" s="17" t="str">
        <f>"0,6246"</f>
        <v>0,6246</v>
      </c>
      <c r="E28" s="17" t="s">
        <v>35</v>
      </c>
      <c r="F28" s="17" t="s">
        <v>36</v>
      </c>
      <c r="G28" s="18" t="s">
        <v>76</v>
      </c>
      <c r="H28" s="18" t="s">
        <v>147</v>
      </c>
      <c r="I28" s="18" t="s">
        <v>136</v>
      </c>
      <c r="J28" s="19"/>
      <c r="K28" s="18" t="s">
        <v>95</v>
      </c>
      <c r="L28" s="18" t="s">
        <v>54</v>
      </c>
      <c r="M28" s="18" t="s">
        <v>55</v>
      </c>
      <c r="N28" s="19"/>
      <c r="O28" s="18" t="s">
        <v>76</v>
      </c>
      <c r="P28" s="18" t="s">
        <v>147</v>
      </c>
      <c r="Q28" s="18" t="s">
        <v>136</v>
      </c>
      <c r="R28" s="19"/>
      <c r="S28" s="17" t="str">
        <f>"425,0"</f>
        <v>425,0</v>
      </c>
      <c r="T28" s="18" t="str">
        <f>"265,4550"</f>
        <v>265,4550</v>
      </c>
      <c r="U28" s="17" t="s">
        <v>46</v>
      </c>
    </row>
    <row r="30" spans="1:20" ht="15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 ht="12.75">
      <c r="A31" s="14" t="s">
        <v>149</v>
      </c>
      <c r="B31" s="14" t="s">
        <v>150</v>
      </c>
      <c r="C31" s="14" t="s">
        <v>151</v>
      </c>
      <c r="D31" s="14" t="str">
        <f>"0,6117"</f>
        <v>0,6117</v>
      </c>
      <c r="E31" s="14" t="s">
        <v>64</v>
      </c>
      <c r="F31" s="14" t="s">
        <v>65</v>
      </c>
      <c r="G31" s="15" t="s">
        <v>110</v>
      </c>
      <c r="H31" s="15" t="s">
        <v>94</v>
      </c>
      <c r="I31" s="15" t="s">
        <v>96</v>
      </c>
      <c r="J31" s="16"/>
      <c r="K31" s="15" t="s">
        <v>43</v>
      </c>
      <c r="L31" s="15" t="s">
        <v>45</v>
      </c>
      <c r="M31" s="15" t="s">
        <v>54</v>
      </c>
      <c r="N31" s="16"/>
      <c r="O31" s="15" t="s">
        <v>114</v>
      </c>
      <c r="P31" s="15" t="s">
        <v>115</v>
      </c>
      <c r="Q31" s="15" t="s">
        <v>152</v>
      </c>
      <c r="R31" s="16"/>
      <c r="S31" s="14" t="str">
        <f>"540,0"</f>
        <v>540,0</v>
      </c>
      <c r="T31" s="15" t="str">
        <f>"330,3180"</f>
        <v>330,3180</v>
      </c>
      <c r="U31" s="14" t="s">
        <v>69</v>
      </c>
    </row>
    <row r="32" spans="1:21" ht="12.75">
      <c r="A32" s="17" t="s">
        <v>154</v>
      </c>
      <c r="B32" s="17" t="s">
        <v>155</v>
      </c>
      <c r="C32" s="17" t="s">
        <v>156</v>
      </c>
      <c r="D32" s="17" t="str">
        <f>"0,5943"</f>
        <v>0,5943</v>
      </c>
      <c r="E32" s="17" t="s">
        <v>52</v>
      </c>
      <c r="F32" s="17" t="s">
        <v>157</v>
      </c>
      <c r="G32" s="18" t="s">
        <v>92</v>
      </c>
      <c r="H32" s="18" t="s">
        <v>94</v>
      </c>
      <c r="I32" s="19" t="s">
        <v>158</v>
      </c>
      <c r="J32" s="19"/>
      <c r="K32" s="18" t="s">
        <v>55</v>
      </c>
      <c r="L32" s="18" t="s">
        <v>84</v>
      </c>
      <c r="M32" s="18" t="s">
        <v>128</v>
      </c>
      <c r="N32" s="19"/>
      <c r="O32" s="18" t="s">
        <v>96</v>
      </c>
      <c r="P32" s="18" t="s">
        <v>98</v>
      </c>
      <c r="Q32" s="18" t="s">
        <v>114</v>
      </c>
      <c r="R32" s="19"/>
      <c r="S32" s="17" t="str">
        <f>"530,0"</f>
        <v>530,0</v>
      </c>
      <c r="T32" s="18" t="str">
        <f>"315,9239"</f>
        <v>315,9239</v>
      </c>
      <c r="U32" s="17" t="s">
        <v>159</v>
      </c>
    </row>
    <row r="34" spans="1:20" ht="15">
      <c r="A34" s="47" t="s">
        <v>160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1" ht="12.75">
      <c r="A35" s="14" t="s">
        <v>162</v>
      </c>
      <c r="B35" s="14" t="s">
        <v>163</v>
      </c>
      <c r="C35" s="14" t="s">
        <v>164</v>
      </c>
      <c r="D35" s="14" t="str">
        <f>"0,5594"</f>
        <v>0,5594</v>
      </c>
      <c r="E35" s="14" t="s">
        <v>64</v>
      </c>
      <c r="F35" s="14" t="s">
        <v>65</v>
      </c>
      <c r="G35" s="16" t="s">
        <v>39</v>
      </c>
      <c r="H35" s="15" t="s">
        <v>129</v>
      </c>
      <c r="I35" s="15" t="s">
        <v>44</v>
      </c>
      <c r="J35" s="16"/>
      <c r="K35" s="15" t="s">
        <v>42</v>
      </c>
      <c r="L35" s="15" t="s">
        <v>75</v>
      </c>
      <c r="M35" s="16" t="s">
        <v>37</v>
      </c>
      <c r="N35" s="16"/>
      <c r="O35" s="15" t="s">
        <v>43</v>
      </c>
      <c r="P35" s="15" t="s">
        <v>95</v>
      </c>
      <c r="Q35" s="15" t="s">
        <v>57</v>
      </c>
      <c r="R35" s="16"/>
      <c r="S35" s="14" t="str">
        <f>"305,0"</f>
        <v>305,0</v>
      </c>
      <c r="T35" s="15" t="str">
        <f>"201,3281"</f>
        <v>201,3281</v>
      </c>
      <c r="U35" s="14" t="s">
        <v>69</v>
      </c>
    </row>
    <row r="36" spans="1:21" ht="12.75">
      <c r="A36" s="20" t="s">
        <v>166</v>
      </c>
      <c r="B36" s="20" t="s">
        <v>167</v>
      </c>
      <c r="C36" s="20" t="s">
        <v>168</v>
      </c>
      <c r="D36" s="20" t="str">
        <f>"0,5575"</f>
        <v>0,5575</v>
      </c>
      <c r="E36" s="20" t="s">
        <v>169</v>
      </c>
      <c r="F36" s="20" t="s">
        <v>170</v>
      </c>
      <c r="G36" s="22" t="s">
        <v>171</v>
      </c>
      <c r="H36" s="22" t="s">
        <v>172</v>
      </c>
      <c r="I36" s="21"/>
      <c r="J36" s="21"/>
      <c r="K36" s="22" t="s">
        <v>135</v>
      </c>
      <c r="L36" s="22" t="s">
        <v>92</v>
      </c>
      <c r="M36" s="21" t="s">
        <v>173</v>
      </c>
      <c r="N36" s="21"/>
      <c r="O36" s="22" t="s">
        <v>174</v>
      </c>
      <c r="P36" s="22" t="s">
        <v>175</v>
      </c>
      <c r="Q36" s="21" t="s">
        <v>176</v>
      </c>
      <c r="R36" s="21"/>
      <c r="S36" s="20" t="str">
        <f>"650,0"</f>
        <v>650,0</v>
      </c>
      <c r="T36" s="22" t="str">
        <f>"362,3750"</f>
        <v>362,3750</v>
      </c>
      <c r="U36" s="20" t="s">
        <v>177</v>
      </c>
    </row>
    <row r="37" spans="1:21" ht="12.75">
      <c r="A37" s="20" t="s">
        <v>179</v>
      </c>
      <c r="B37" s="20" t="s">
        <v>180</v>
      </c>
      <c r="C37" s="20" t="s">
        <v>181</v>
      </c>
      <c r="D37" s="20" t="str">
        <f>"0,5563"</f>
        <v>0,5563</v>
      </c>
      <c r="E37" s="20" t="s">
        <v>64</v>
      </c>
      <c r="F37" s="20" t="s">
        <v>65</v>
      </c>
      <c r="G37" s="22" t="s">
        <v>110</v>
      </c>
      <c r="H37" s="22" t="s">
        <v>93</v>
      </c>
      <c r="I37" s="21" t="s">
        <v>94</v>
      </c>
      <c r="J37" s="21"/>
      <c r="K37" s="22" t="s">
        <v>54</v>
      </c>
      <c r="L37" s="22" t="s">
        <v>55</v>
      </c>
      <c r="M37" s="21" t="s">
        <v>57</v>
      </c>
      <c r="N37" s="21"/>
      <c r="O37" s="22" t="s">
        <v>142</v>
      </c>
      <c r="P37" s="22" t="s">
        <v>98</v>
      </c>
      <c r="Q37" s="22" t="s">
        <v>182</v>
      </c>
      <c r="R37" s="21"/>
      <c r="S37" s="20" t="str">
        <f>"495,0"</f>
        <v>495,0</v>
      </c>
      <c r="T37" s="22" t="str">
        <f>"275,3685"</f>
        <v>275,3685</v>
      </c>
      <c r="U37" s="20" t="s">
        <v>159</v>
      </c>
    </row>
    <row r="38" spans="1:21" ht="12.75">
      <c r="A38" s="20" t="s">
        <v>184</v>
      </c>
      <c r="B38" s="20" t="s">
        <v>185</v>
      </c>
      <c r="C38" s="20" t="s">
        <v>186</v>
      </c>
      <c r="D38" s="20" t="str">
        <f>"0,5543"</f>
        <v>0,5543</v>
      </c>
      <c r="E38" s="20" t="s">
        <v>187</v>
      </c>
      <c r="F38" s="20" t="s">
        <v>53</v>
      </c>
      <c r="G38" s="22" t="s">
        <v>92</v>
      </c>
      <c r="H38" s="21" t="s">
        <v>93</v>
      </c>
      <c r="I38" s="21" t="s">
        <v>94</v>
      </c>
      <c r="J38" s="21"/>
      <c r="K38" s="21" t="s">
        <v>54</v>
      </c>
      <c r="L38" s="22" t="s">
        <v>55</v>
      </c>
      <c r="M38" s="21" t="s">
        <v>76</v>
      </c>
      <c r="N38" s="21"/>
      <c r="O38" s="22" t="s">
        <v>98</v>
      </c>
      <c r="P38" s="21" t="s">
        <v>188</v>
      </c>
      <c r="Q38" s="21" t="s">
        <v>188</v>
      </c>
      <c r="R38" s="21"/>
      <c r="S38" s="20" t="str">
        <f>"480,0"</f>
        <v>480,0</v>
      </c>
      <c r="T38" s="22" t="str">
        <f>"266,0640"</f>
        <v>266,0640</v>
      </c>
      <c r="U38" s="20" t="s">
        <v>189</v>
      </c>
    </row>
    <row r="39" spans="1:21" ht="12.75">
      <c r="A39" s="17" t="s">
        <v>191</v>
      </c>
      <c r="B39" s="17" t="s">
        <v>192</v>
      </c>
      <c r="C39" s="17" t="s">
        <v>164</v>
      </c>
      <c r="D39" s="17" t="str">
        <f>"0,5594"</f>
        <v>0,5594</v>
      </c>
      <c r="E39" s="17" t="s">
        <v>64</v>
      </c>
      <c r="F39" s="17" t="s">
        <v>65</v>
      </c>
      <c r="G39" s="18" t="s">
        <v>128</v>
      </c>
      <c r="H39" s="18" t="s">
        <v>136</v>
      </c>
      <c r="I39" s="19" t="s">
        <v>110</v>
      </c>
      <c r="J39" s="19"/>
      <c r="K39" s="18" t="s">
        <v>43</v>
      </c>
      <c r="L39" s="18" t="s">
        <v>45</v>
      </c>
      <c r="M39" s="18" t="s">
        <v>121</v>
      </c>
      <c r="N39" s="19"/>
      <c r="O39" s="18" t="s">
        <v>128</v>
      </c>
      <c r="P39" s="18" t="s">
        <v>110</v>
      </c>
      <c r="Q39" s="18" t="s">
        <v>96</v>
      </c>
      <c r="R39" s="19"/>
      <c r="S39" s="17" t="str">
        <f>"447,5"</f>
        <v>447,5</v>
      </c>
      <c r="T39" s="18" t="str">
        <f>"250,3315"</f>
        <v>250,3315</v>
      </c>
      <c r="U39" s="17" t="s">
        <v>69</v>
      </c>
    </row>
    <row r="41" spans="1:20" ht="15">
      <c r="A41" s="47" t="s">
        <v>193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  <row r="42" spans="1:21" ht="12.75">
      <c r="A42" s="11" t="s">
        <v>195</v>
      </c>
      <c r="B42" s="11" t="s">
        <v>196</v>
      </c>
      <c r="C42" s="11" t="s">
        <v>197</v>
      </c>
      <c r="D42" s="11" t="str">
        <f>"0,5381"</f>
        <v>0,5381</v>
      </c>
      <c r="E42" s="11" t="s">
        <v>198</v>
      </c>
      <c r="F42" s="11" t="s">
        <v>53</v>
      </c>
      <c r="G42" s="12" t="s">
        <v>136</v>
      </c>
      <c r="H42" s="12" t="s">
        <v>199</v>
      </c>
      <c r="I42" s="13" t="s">
        <v>200</v>
      </c>
      <c r="J42" s="13"/>
      <c r="K42" s="12" t="s">
        <v>44</v>
      </c>
      <c r="L42" s="12" t="s">
        <v>95</v>
      </c>
      <c r="M42" s="13" t="s">
        <v>121</v>
      </c>
      <c r="N42" s="13"/>
      <c r="O42" s="12" t="s">
        <v>110</v>
      </c>
      <c r="P42" s="12" t="s">
        <v>111</v>
      </c>
      <c r="Q42" s="12" t="s">
        <v>158</v>
      </c>
      <c r="R42" s="13"/>
      <c r="S42" s="11" t="str">
        <f>"467,5"</f>
        <v>467,5</v>
      </c>
      <c r="T42" s="12" t="str">
        <f>"251,5618"</f>
        <v>251,5618</v>
      </c>
      <c r="U42" s="11" t="s">
        <v>201</v>
      </c>
    </row>
    <row r="44" spans="1:20" ht="15">
      <c r="A44" s="47" t="s">
        <v>202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</row>
    <row r="45" spans="1:21" ht="12.75">
      <c r="A45" s="11" t="s">
        <v>204</v>
      </c>
      <c r="B45" s="11" t="s">
        <v>205</v>
      </c>
      <c r="C45" s="11" t="s">
        <v>206</v>
      </c>
      <c r="D45" s="11" t="str">
        <f>"0,5270"</f>
        <v>0,5270</v>
      </c>
      <c r="E45" s="11" t="s">
        <v>64</v>
      </c>
      <c r="F45" s="11" t="s">
        <v>65</v>
      </c>
      <c r="G45" s="12" t="s">
        <v>158</v>
      </c>
      <c r="H45" s="12" t="s">
        <v>98</v>
      </c>
      <c r="I45" s="12" t="s">
        <v>114</v>
      </c>
      <c r="J45" s="13"/>
      <c r="K45" s="12" t="s">
        <v>128</v>
      </c>
      <c r="L45" s="12" t="s">
        <v>136</v>
      </c>
      <c r="M45" s="12" t="s">
        <v>92</v>
      </c>
      <c r="N45" s="13"/>
      <c r="O45" s="12" t="s">
        <v>158</v>
      </c>
      <c r="P45" s="12" t="s">
        <v>98</v>
      </c>
      <c r="Q45" s="12" t="s">
        <v>207</v>
      </c>
      <c r="R45" s="13"/>
      <c r="S45" s="11" t="str">
        <f>"600,0"</f>
        <v>600,0</v>
      </c>
      <c r="T45" s="12" t="str">
        <f>"316,2000"</f>
        <v>316,2000</v>
      </c>
      <c r="U45" s="11" t="s">
        <v>69</v>
      </c>
    </row>
    <row r="47" spans="1:20" ht="15">
      <c r="A47" s="47" t="s">
        <v>208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spans="1:21" ht="12.75">
      <c r="A48" s="11" t="s">
        <v>210</v>
      </c>
      <c r="B48" s="11" t="s">
        <v>211</v>
      </c>
      <c r="C48" s="11" t="s">
        <v>212</v>
      </c>
      <c r="D48" s="11" t="str">
        <f>"0,5191"</f>
        <v>0,5191</v>
      </c>
      <c r="E48" s="11" t="s">
        <v>64</v>
      </c>
      <c r="F48" s="11" t="s">
        <v>65</v>
      </c>
      <c r="G48" s="12" t="s">
        <v>113</v>
      </c>
      <c r="H48" s="13" t="s">
        <v>114</v>
      </c>
      <c r="I48" s="12" t="s">
        <v>114</v>
      </c>
      <c r="J48" s="13"/>
      <c r="K48" s="12" t="s">
        <v>111</v>
      </c>
      <c r="L48" s="12" t="s">
        <v>158</v>
      </c>
      <c r="M48" s="12" t="s">
        <v>97</v>
      </c>
      <c r="N48" s="13"/>
      <c r="O48" s="12" t="s">
        <v>213</v>
      </c>
      <c r="P48" s="12" t="s">
        <v>214</v>
      </c>
      <c r="Q48" s="13" t="s">
        <v>215</v>
      </c>
      <c r="R48" s="13"/>
      <c r="S48" s="11" t="str">
        <f>"700,0"</f>
        <v>700,0</v>
      </c>
      <c r="T48" s="12" t="str">
        <f>"363,3560"</f>
        <v>363,3560</v>
      </c>
      <c r="U48" s="11" t="s">
        <v>69</v>
      </c>
    </row>
    <row r="50" ht="15">
      <c r="E50" s="9" t="s">
        <v>14</v>
      </c>
    </row>
    <row r="51" ht="15">
      <c r="E51" s="9" t="s">
        <v>15</v>
      </c>
    </row>
    <row r="52" ht="15">
      <c r="E52" s="9" t="s">
        <v>16</v>
      </c>
    </row>
    <row r="53" ht="15">
      <c r="E53" s="9" t="s">
        <v>17</v>
      </c>
    </row>
    <row r="54" ht="15">
      <c r="E54" s="9" t="s">
        <v>17</v>
      </c>
    </row>
    <row r="55" ht="15">
      <c r="E55" s="9" t="s">
        <v>18</v>
      </c>
    </row>
    <row r="56" ht="15">
      <c r="E56" s="9"/>
    </row>
    <row r="58" spans="1:2" ht="18">
      <c r="A58" s="10" t="s">
        <v>19</v>
      </c>
      <c r="B58" s="10"/>
    </row>
    <row r="59" spans="1:2" ht="15">
      <c r="A59" s="23" t="s">
        <v>216</v>
      </c>
      <c r="B59" s="23"/>
    </row>
    <row r="60" spans="1:2" ht="14.25">
      <c r="A60" s="25"/>
      <c r="B60" s="26" t="s">
        <v>217</v>
      </c>
    </row>
    <row r="61" spans="1:5" ht="15">
      <c r="A61" s="27" t="s">
        <v>218</v>
      </c>
      <c r="B61" s="27" t="s">
        <v>219</v>
      </c>
      <c r="C61" s="27" t="s">
        <v>220</v>
      </c>
      <c r="D61" s="27" t="s">
        <v>221</v>
      </c>
      <c r="E61" s="27" t="s">
        <v>222</v>
      </c>
    </row>
    <row r="62" spans="1:5" ht="12.75">
      <c r="A62" s="24" t="s">
        <v>48</v>
      </c>
      <c r="B62" s="4" t="s">
        <v>217</v>
      </c>
      <c r="C62" s="4" t="s">
        <v>223</v>
      </c>
      <c r="D62" s="4" t="s">
        <v>224</v>
      </c>
      <c r="E62" s="28" t="s">
        <v>225</v>
      </c>
    </row>
    <row r="63" spans="1:5" ht="12.75">
      <c r="A63" s="24" t="s">
        <v>31</v>
      </c>
      <c r="B63" s="4" t="s">
        <v>217</v>
      </c>
      <c r="C63" s="4" t="s">
        <v>226</v>
      </c>
      <c r="D63" s="4" t="s">
        <v>227</v>
      </c>
      <c r="E63" s="28" t="s">
        <v>228</v>
      </c>
    </row>
    <row r="66" spans="1:2" ht="15">
      <c r="A66" s="23" t="s">
        <v>229</v>
      </c>
      <c r="B66" s="23"/>
    </row>
    <row r="67" spans="1:2" ht="14.25">
      <c r="A67" s="25"/>
      <c r="B67" s="26" t="s">
        <v>230</v>
      </c>
    </row>
    <row r="68" spans="1:5" ht="15">
      <c r="A68" s="27" t="s">
        <v>218</v>
      </c>
      <c r="B68" s="27" t="s">
        <v>219</v>
      </c>
      <c r="C68" s="27" t="s">
        <v>220</v>
      </c>
      <c r="D68" s="27" t="s">
        <v>221</v>
      </c>
      <c r="E68" s="27" t="s">
        <v>222</v>
      </c>
    </row>
    <row r="69" spans="1:5" ht="12.75">
      <c r="A69" s="24" t="s">
        <v>87</v>
      </c>
      <c r="B69" s="4" t="s">
        <v>231</v>
      </c>
      <c r="C69" s="4" t="s">
        <v>226</v>
      </c>
      <c r="D69" s="4" t="s">
        <v>232</v>
      </c>
      <c r="E69" s="28" t="s">
        <v>233</v>
      </c>
    </row>
    <row r="70" spans="1:5" ht="12.75">
      <c r="A70" s="24" t="s">
        <v>138</v>
      </c>
      <c r="B70" s="4" t="s">
        <v>231</v>
      </c>
      <c r="C70" s="4" t="s">
        <v>234</v>
      </c>
      <c r="D70" s="4" t="s">
        <v>235</v>
      </c>
      <c r="E70" s="28" t="s">
        <v>236</v>
      </c>
    </row>
    <row r="71" spans="1:5" ht="12.75">
      <c r="A71" s="24" t="s">
        <v>71</v>
      </c>
      <c r="B71" s="4" t="s">
        <v>231</v>
      </c>
      <c r="C71" s="4" t="s">
        <v>237</v>
      </c>
      <c r="D71" s="4" t="s">
        <v>224</v>
      </c>
      <c r="E71" s="28" t="s">
        <v>238</v>
      </c>
    </row>
    <row r="72" spans="1:5" ht="12.75">
      <c r="A72" s="24" t="s">
        <v>60</v>
      </c>
      <c r="B72" s="4" t="s">
        <v>239</v>
      </c>
      <c r="C72" s="4" t="s">
        <v>240</v>
      </c>
      <c r="D72" s="4" t="s">
        <v>182</v>
      </c>
      <c r="E72" s="28" t="s">
        <v>241</v>
      </c>
    </row>
    <row r="73" spans="1:5" ht="12.75">
      <c r="A73" s="24" t="s">
        <v>161</v>
      </c>
      <c r="B73" s="4" t="s">
        <v>239</v>
      </c>
      <c r="C73" s="4" t="s">
        <v>242</v>
      </c>
      <c r="D73" s="4" t="s">
        <v>243</v>
      </c>
      <c r="E73" s="28" t="s">
        <v>244</v>
      </c>
    </row>
    <row r="75" spans="1:2" ht="14.25">
      <c r="A75" s="25"/>
      <c r="B75" s="26" t="s">
        <v>245</v>
      </c>
    </row>
    <row r="76" spans="1:5" ht="15">
      <c r="A76" s="27" t="s">
        <v>218</v>
      </c>
      <c r="B76" s="27" t="s">
        <v>219</v>
      </c>
      <c r="C76" s="27" t="s">
        <v>220</v>
      </c>
      <c r="D76" s="27" t="s">
        <v>221</v>
      </c>
      <c r="E76" s="27" t="s">
        <v>222</v>
      </c>
    </row>
    <row r="77" spans="1:5" ht="12.75">
      <c r="A77" s="24" t="s">
        <v>104</v>
      </c>
      <c r="B77" s="4" t="s">
        <v>246</v>
      </c>
      <c r="C77" s="4" t="s">
        <v>226</v>
      </c>
      <c r="D77" s="4" t="s">
        <v>247</v>
      </c>
      <c r="E77" s="28" t="s">
        <v>248</v>
      </c>
    </row>
    <row r="78" spans="1:5" ht="12.75">
      <c r="A78" s="24" t="s">
        <v>77</v>
      </c>
      <c r="B78" s="4" t="s">
        <v>246</v>
      </c>
      <c r="C78" s="4" t="s">
        <v>237</v>
      </c>
      <c r="D78" s="4" t="s">
        <v>249</v>
      </c>
      <c r="E78" s="28" t="s">
        <v>250</v>
      </c>
    </row>
    <row r="80" spans="1:2" ht="14.25">
      <c r="A80" s="25"/>
      <c r="B80" s="26" t="s">
        <v>217</v>
      </c>
    </row>
    <row r="81" spans="1:5" ht="15">
      <c r="A81" s="27" t="s">
        <v>218</v>
      </c>
      <c r="B81" s="27" t="s">
        <v>219</v>
      </c>
      <c r="C81" s="27" t="s">
        <v>220</v>
      </c>
      <c r="D81" s="27" t="s">
        <v>221</v>
      </c>
      <c r="E81" s="27" t="s">
        <v>222</v>
      </c>
    </row>
    <row r="82" spans="1:5" ht="12.75">
      <c r="A82" s="24" t="s">
        <v>209</v>
      </c>
      <c r="B82" s="4" t="s">
        <v>217</v>
      </c>
      <c r="C82" s="4" t="s">
        <v>251</v>
      </c>
      <c r="D82" s="4" t="s">
        <v>252</v>
      </c>
      <c r="E82" s="28" t="s">
        <v>253</v>
      </c>
    </row>
    <row r="83" spans="1:5" ht="12.75">
      <c r="A83" s="24" t="s">
        <v>165</v>
      </c>
      <c r="B83" s="4" t="s">
        <v>217</v>
      </c>
      <c r="C83" s="4" t="s">
        <v>242</v>
      </c>
      <c r="D83" s="4" t="s">
        <v>254</v>
      </c>
      <c r="E83" s="28" t="s">
        <v>255</v>
      </c>
    </row>
    <row r="84" spans="1:5" ht="12.75">
      <c r="A84" s="24" t="s">
        <v>117</v>
      </c>
      <c r="B84" s="4" t="s">
        <v>217</v>
      </c>
      <c r="C84" s="4" t="s">
        <v>226</v>
      </c>
      <c r="D84" s="4" t="s">
        <v>256</v>
      </c>
      <c r="E84" s="28" t="s">
        <v>257</v>
      </c>
    </row>
    <row r="85" spans="1:5" ht="12.75">
      <c r="A85" s="24" t="s">
        <v>148</v>
      </c>
      <c r="B85" s="4" t="s">
        <v>217</v>
      </c>
      <c r="C85" s="4" t="s">
        <v>223</v>
      </c>
      <c r="D85" s="4" t="s">
        <v>258</v>
      </c>
      <c r="E85" s="28" t="s">
        <v>259</v>
      </c>
    </row>
    <row r="86" spans="1:5" ht="12.75">
      <c r="A86" s="24" t="s">
        <v>203</v>
      </c>
      <c r="B86" s="4" t="s">
        <v>217</v>
      </c>
      <c r="C86" s="4" t="s">
        <v>260</v>
      </c>
      <c r="D86" s="4" t="s">
        <v>261</v>
      </c>
      <c r="E86" s="28" t="s">
        <v>262</v>
      </c>
    </row>
    <row r="87" spans="1:5" ht="12.75">
      <c r="A87" s="24" t="s">
        <v>124</v>
      </c>
      <c r="B87" s="4" t="s">
        <v>217</v>
      </c>
      <c r="C87" s="4" t="s">
        <v>226</v>
      </c>
      <c r="D87" s="4" t="s">
        <v>263</v>
      </c>
      <c r="E87" s="28" t="s">
        <v>264</v>
      </c>
    </row>
    <row r="88" spans="1:5" ht="12.75">
      <c r="A88" s="24" t="s">
        <v>178</v>
      </c>
      <c r="B88" s="4" t="s">
        <v>217</v>
      </c>
      <c r="C88" s="4" t="s">
        <v>242</v>
      </c>
      <c r="D88" s="4" t="s">
        <v>265</v>
      </c>
      <c r="E88" s="28" t="s">
        <v>266</v>
      </c>
    </row>
    <row r="89" spans="1:5" ht="12.75">
      <c r="A89" s="24" t="s">
        <v>131</v>
      </c>
      <c r="B89" s="4" t="s">
        <v>217</v>
      </c>
      <c r="C89" s="4" t="s">
        <v>226</v>
      </c>
      <c r="D89" s="4" t="s">
        <v>267</v>
      </c>
      <c r="E89" s="28" t="s">
        <v>268</v>
      </c>
    </row>
    <row r="90" spans="1:5" ht="12.75">
      <c r="A90" s="24" t="s">
        <v>183</v>
      </c>
      <c r="B90" s="4" t="s">
        <v>217</v>
      </c>
      <c r="C90" s="4" t="s">
        <v>242</v>
      </c>
      <c r="D90" s="4" t="s">
        <v>269</v>
      </c>
      <c r="E90" s="28" t="s">
        <v>270</v>
      </c>
    </row>
    <row r="91" spans="1:5" ht="12.75">
      <c r="A91" s="24" t="s">
        <v>143</v>
      </c>
      <c r="B91" s="4" t="s">
        <v>217</v>
      </c>
      <c r="C91" s="4" t="s">
        <v>234</v>
      </c>
      <c r="D91" s="4" t="s">
        <v>271</v>
      </c>
      <c r="E91" s="28" t="s">
        <v>272</v>
      </c>
    </row>
    <row r="92" spans="1:5" ht="12.75">
      <c r="A92" s="24" t="s">
        <v>194</v>
      </c>
      <c r="B92" s="4" t="s">
        <v>217</v>
      </c>
      <c r="C92" s="4" t="s">
        <v>273</v>
      </c>
      <c r="D92" s="4" t="s">
        <v>274</v>
      </c>
      <c r="E92" s="28" t="s">
        <v>275</v>
      </c>
    </row>
    <row r="93" spans="1:5" ht="12.75">
      <c r="A93" s="24" t="s">
        <v>190</v>
      </c>
      <c r="B93" s="4" t="s">
        <v>217</v>
      </c>
      <c r="C93" s="4" t="s">
        <v>242</v>
      </c>
      <c r="D93" s="4" t="s">
        <v>276</v>
      </c>
      <c r="E93" s="28" t="s">
        <v>277</v>
      </c>
    </row>
    <row r="95" spans="1:2" ht="14.25">
      <c r="A95" s="25"/>
      <c r="B95" s="26" t="s">
        <v>278</v>
      </c>
    </row>
    <row r="96" spans="1:5" ht="15">
      <c r="A96" s="27" t="s">
        <v>218</v>
      </c>
      <c r="B96" s="27" t="s">
        <v>219</v>
      </c>
      <c r="C96" s="27" t="s">
        <v>220</v>
      </c>
      <c r="D96" s="27" t="s">
        <v>221</v>
      </c>
      <c r="E96" s="27" t="s">
        <v>222</v>
      </c>
    </row>
    <row r="97" spans="1:5" ht="12.75">
      <c r="A97" s="24" t="s">
        <v>153</v>
      </c>
      <c r="B97" s="4" t="s">
        <v>279</v>
      </c>
      <c r="C97" s="4" t="s">
        <v>223</v>
      </c>
      <c r="D97" s="4" t="s">
        <v>280</v>
      </c>
      <c r="E97" s="28" t="s">
        <v>281</v>
      </c>
    </row>
  </sheetData>
  <sheetProtection/>
  <mergeCells count="24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44:T44"/>
    <mergeCell ref="A47:T47"/>
    <mergeCell ref="A14:T14"/>
    <mergeCell ref="A18:T18"/>
    <mergeCell ref="A26:T26"/>
    <mergeCell ref="A30:T30"/>
    <mergeCell ref="A34:T34"/>
    <mergeCell ref="A41:T4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9.1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4.125" style="4" bestFit="1" customWidth="1"/>
    <col min="22" max="16384" width="9.125" style="3" customWidth="1"/>
  </cols>
  <sheetData>
    <row r="1" spans="1:21" s="2" customFormat="1" ht="28.5" customHeight="1">
      <c r="A1" s="44" t="s">
        <v>684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28</v>
      </c>
      <c r="L3" s="43"/>
      <c r="M3" s="43"/>
      <c r="N3" s="43"/>
      <c r="O3" s="43" t="s">
        <v>29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8">
        <v>1</v>
      </c>
      <c r="P4" s="8">
        <v>2</v>
      </c>
      <c r="Q4" s="8">
        <v>3</v>
      </c>
      <c r="R4" s="8" t="s">
        <v>8</v>
      </c>
      <c r="S4" s="42"/>
      <c r="T4" s="42"/>
      <c r="U4" s="32"/>
    </row>
    <row r="5" spans="1:20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1" t="s">
        <v>681</v>
      </c>
      <c r="B6" s="11" t="s">
        <v>298</v>
      </c>
      <c r="C6" s="11" t="s">
        <v>299</v>
      </c>
      <c r="D6" s="11" t="str">
        <f>"0,6708"</f>
        <v>0,6708</v>
      </c>
      <c r="E6" s="11" t="s">
        <v>300</v>
      </c>
      <c r="F6" s="11" t="s">
        <v>301</v>
      </c>
      <c r="G6" s="12" t="s">
        <v>97</v>
      </c>
      <c r="H6" s="12" t="s">
        <v>685</v>
      </c>
      <c r="I6" s="12" t="s">
        <v>686</v>
      </c>
      <c r="J6" s="13"/>
      <c r="K6" s="12" t="s">
        <v>302</v>
      </c>
      <c r="L6" s="12" t="s">
        <v>326</v>
      </c>
      <c r="M6" s="12" t="s">
        <v>687</v>
      </c>
      <c r="N6" s="13"/>
      <c r="O6" s="12" t="s">
        <v>288</v>
      </c>
      <c r="P6" s="12" t="s">
        <v>688</v>
      </c>
      <c r="Q6" s="12" t="s">
        <v>689</v>
      </c>
      <c r="R6" s="13"/>
      <c r="S6" s="11" t="s">
        <v>690</v>
      </c>
      <c r="T6" s="12" t="s">
        <v>691</v>
      </c>
      <c r="U6" s="11" t="s">
        <v>303</v>
      </c>
    </row>
    <row r="8" spans="1:20" ht="15">
      <c r="A8" s="47" t="s">
        <v>202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ht="12.75">
      <c r="A9" s="11" t="s">
        <v>305</v>
      </c>
      <c r="B9" s="11" t="s">
        <v>306</v>
      </c>
      <c r="C9" s="11" t="s">
        <v>307</v>
      </c>
      <c r="D9" s="11" t="str">
        <f>"0,5230"</f>
        <v>0,5230</v>
      </c>
      <c r="E9" s="11" t="s">
        <v>52</v>
      </c>
      <c r="F9" s="11" t="s">
        <v>53</v>
      </c>
      <c r="G9" s="12" t="s">
        <v>113</v>
      </c>
      <c r="H9" s="13" t="s">
        <v>114</v>
      </c>
      <c r="I9" s="12" t="s">
        <v>115</v>
      </c>
      <c r="J9" s="13"/>
      <c r="K9" s="12" t="s">
        <v>158</v>
      </c>
      <c r="L9" s="13" t="s">
        <v>97</v>
      </c>
      <c r="M9" s="12" t="s">
        <v>97</v>
      </c>
      <c r="N9" s="13"/>
      <c r="O9" s="12" t="s">
        <v>113</v>
      </c>
      <c r="P9" s="12" t="s">
        <v>207</v>
      </c>
      <c r="Q9" s="12" t="s">
        <v>152</v>
      </c>
      <c r="R9" s="13"/>
      <c r="S9" s="11" t="str">
        <f>"665,0"</f>
        <v>665,0</v>
      </c>
      <c r="T9" s="12" t="str">
        <f>"347,7950"</f>
        <v>347,7950</v>
      </c>
      <c r="U9" s="11" t="s">
        <v>308</v>
      </c>
    </row>
    <row r="11" ht="15">
      <c r="E11" s="9" t="s">
        <v>14</v>
      </c>
    </row>
    <row r="12" ht="15">
      <c r="E12" s="9" t="s">
        <v>15</v>
      </c>
    </row>
    <row r="13" ht="15">
      <c r="E13" s="9" t="s">
        <v>16</v>
      </c>
    </row>
    <row r="14" ht="15">
      <c r="E14" s="9" t="s">
        <v>17</v>
      </c>
    </row>
    <row r="15" ht="15">
      <c r="E15" s="9" t="s">
        <v>17</v>
      </c>
    </row>
    <row r="16" ht="15">
      <c r="E16" s="9" t="s">
        <v>18</v>
      </c>
    </row>
    <row r="17" ht="15">
      <c r="E17" s="9"/>
    </row>
    <row r="19" spans="1:2" ht="18">
      <c r="A19" s="10" t="s">
        <v>19</v>
      </c>
      <c r="B19" s="10"/>
    </row>
    <row r="20" spans="1:2" ht="15">
      <c r="A20" s="23" t="s">
        <v>229</v>
      </c>
      <c r="B20" s="23"/>
    </row>
    <row r="21" spans="1:2" ht="14.25">
      <c r="A21" s="25"/>
      <c r="B21" s="26" t="s">
        <v>217</v>
      </c>
    </row>
    <row r="22" spans="1:5" ht="15">
      <c r="A22" s="27" t="s">
        <v>218</v>
      </c>
      <c r="B22" s="27" t="s">
        <v>219</v>
      </c>
      <c r="C22" s="27" t="s">
        <v>220</v>
      </c>
      <c r="D22" s="27" t="s">
        <v>221</v>
      </c>
      <c r="E22" s="27" t="s">
        <v>222</v>
      </c>
    </row>
    <row r="23" spans="1:5" ht="12.75">
      <c r="A23" s="24" t="s">
        <v>296</v>
      </c>
      <c r="B23" s="4" t="s">
        <v>217</v>
      </c>
      <c r="C23" s="4" t="s">
        <v>226</v>
      </c>
      <c r="D23" s="4" t="s">
        <v>690</v>
      </c>
      <c r="E23" s="28" t="s">
        <v>691</v>
      </c>
    </row>
    <row r="24" spans="1:5" ht="12.75">
      <c r="A24" s="24" t="s">
        <v>304</v>
      </c>
      <c r="B24" s="4" t="s">
        <v>217</v>
      </c>
      <c r="C24" s="4" t="s">
        <v>260</v>
      </c>
      <c r="D24" s="4" t="s">
        <v>309</v>
      </c>
      <c r="E24" s="28" t="s">
        <v>310</v>
      </c>
    </row>
  </sheetData>
  <sheetProtection/>
  <mergeCells count="15"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8.87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8.3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7.875" style="4" bestFit="1" customWidth="1"/>
    <col min="14" max="16384" width="9.125" style="3" customWidth="1"/>
  </cols>
  <sheetData>
    <row r="1" spans="1:13" s="2" customFormat="1" ht="28.5" customHeight="1">
      <c r="A1" s="44" t="s">
        <v>529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29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8">
        <v>1</v>
      </c>
      <c r="H4" s="8">
        <v>2</v>
      </c>
      <c r="I4" s="8">
        <v>3</v>
      </c>
      <c r="J4" s="8" t="s">
        <v>8</v>
      </c>
      <c r="K4" s="42"/>
      <c r="L4" s="42"/>
      <c r="M4" s="32"/>
    </row>
    <row r="5" spans="1:12" ht="15">
      <c r="A5" s="45" t="s">
        <v>530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4" t="s">
        <v>532</v>
      </c>
      <c r="B6" s="14" t="s">
        <v>533</v>
      </c>
      <c r="C6" s="14" t="s">
        <v>534</v>
      </c>
      <c r="D6" s="14" t="str">
        <f>"0,9693"</f>
        <v>0,9693</v>
      </c>
      <c r="E6" s="14" t="s">
        <v>52</v>
      </c>
      <c r="F6" s="14" t="s">
        <v>53</v>
      </c>
      <c r="G6" s="15" t="s">
        <v>37</v>
      </c>
      <c r="H6" s="15" t="s">
        <v>39</v>
      </c>
      <c r="I6" s="16" t="s">
        <v>535</v>
      </c>
      <c r="J6" s="16"/>
      <c r="K6" s="14" t="str">
        <f>"90,0"</f>
        <v>90,0</v>
      </c>
      <c r="L6" s="15" t="str">
        <f>"89,8587"</f>
        <v>89,8587</v>
      </c>
      <c r="M6" s="14" t="s">
        <v>387</v>
      </c>
    </row>
    <row r="7" spans="1:13" ht="12.75">
      <c r="A7" s="20" t="s">
        <v>537</v>
      </c>
      <c r="B7" s="20" t="s">
        <v>538</v>
      </c>
      <c r="C7" s="20" t="s">
        <v>539</v>
      </c>
      <c r="D7" s="20" t="str">
        <f>"0,9864"</f>
        <v>0,9864</v>
      </c>
      <c r="E7" s="20" t="s">
        <v>540</v>
      </c>
      <c r="F7" s="20" t="s">
        <v>541</v>
      </c>
      <c r="G7" s="22" t="s">
        <v>44</v>
      </c>
      <c r="H7" s="22" t="s">
        <v>121</v>
      </c>
      <c r="I7" s="21"/>
      <c r="J7" s="21"/>
      <c r="K7" s="20" t="str">
        <f>"117,5"</f>
        <v>117,5</v>
      </c>
      <c r="L7" s="22" t="str">
        <f>"115,9020"</f>
        <v>115,9020</v>
      </c>
      <c r="M7" s="20" t="s">
        <v>542</v>
      </c>
    </row>
    <row r="8" spans="1:13" ht="12.75">
      <c r="A8" s="17" t="s">
        <v>544</v>
      </c>
      <c r="B8" s="17" t="s">
        <v>545</v>
      </c>
      <c r="C8" s="17" t="s">
        <v>546</v>
      </c>
      <c r="D8" s="17" t="str">
        <f>"0,9896"</f>
        <v>0,9896</v>
      </c>
      <c r="E8" s="17" t="s">
        <v>52</v>
      </c>
      <c r="F8" s="17" t="s">
        <v>53</v>
      </c>
      <c r="G8" s="19" t="s">
        <v>37</v>
      </c>
      <c r="H8" s="18" t="s">
        <v>39</v>
      </c>
      <c r="I8" s="18" t="s">
        <v>535</v>
      </c>
      <c r="J8" s="19"/>
      <c r="K8" s="17" t="str">
        <f>"102,5"</f>
        <v>102,5</v>
      </c>
      <c r="L8" s="18" t="str">
        <f>"101,4340"</f>
        <v>101,4340</v>
      </c>
      <c r="M8" s="17" t="s">
        <v>547</v>
      </c>
    </row>
    <row r="10" spans="1:12" ht="15">
      <c r="A10" s="47" t="s">
        <v>313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3" ht="12.75">
      <c r="A11" s="14" t="s">
        <v>549</v>
      </c>
      <c r="B11" s="14" t="s">
        <v>550</v>
      </c>
      <c r="C11" s="14" t="s">
        <v>551</v>
      </c>
      <c r="D11" s="14" t="str">
        <f>"0,8622"</f>
        <v>0,8622</v>
      </c>
      <c r="E11" s="14" t="s">
        <v>540</v>
      </c>
      <c r="F11" s="14" t="s">
        <v>541</v>
      </c>
      <c r="G11" s="15" t="s">
        <v>39</v>
      </c>
      <c r="H11" s="15" t="s">
        <v>129</v>
      </c>
      <c r="I11" s="15" t="s">
        <v>43</v>
      </c>
      <c r="J11" s="16"/>
      <c r="K11" s="14" t="str">
        <f>"100,0"</f>
        <v>100,0</v>
      </c>
      <c r="L11" s="15" t="str">
        <f>"86,2150"</f>
        <v>86,2150</v>
      </c>
      <c r="M11" s="14" t="s">
        <v>542</v>
      </c>
    </row>
    <row r="12" spans="1:13" ht="12.75">
      <c r="A12" s="17" t="s">
        <v>553</v>
      </c>
      <c r="B12" s="17" t="s">
        <v>554</v>
      </c>
      <c r="C12" s="17" t="s">
        <v>555</v>
      </c>
      <c r="D12" s="17" t="str">
        <f>"0,8794"</f>
        <v>0,8794</v>
      </c>
      <c r="E12" s="17" t="s">
        <v>540</v>
      </c>
      <c r="F12" s="17" t="s">
        <v>541</v>
      </c>
      <c r="G12" s="18" t="s">
        <v>37</v>
      </c>
      <c r="H12" s="19" t="s">
        <v>38</v>
      </c>
      <c r="I12" s="19" t="s">
        <v>38</v>
      </c>
      <c r="J12" s="19"/>
      <c r="K12" s="17" t="str">
        <f>"80,0"</f>
        <v>80,0</v>
      </c>
      <c r="L12" s="18" t="str">
        <f>"70,3520"</f>
        <v>70,3520</v>
      </c>
      <c r="M12" s="17" t="s">
        <v>542</v>
      </c>
    </row>
    <row r="14" spans="1:12" ht="15">
      <c r="A14" s="47" t="s">
        <v>70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3" ht="12.75">
      <c r="A15" s="11" t="s">
        <v>557</v>
      </c>
      <c r="B15" s="11" t="s">
        <v>558</v>
      </c>
      <c r="C15" s="11" t="s">
        <v>559</v>
      </c>
      <c r="D15" s="11" t="str">
        <f>"0,7852"</f>
        <v>0,7852</v>
      </c>
      <c r="E15" s="11" t="s">
        <v>52</v>
      </c>
      <c r="F15" s="11" t="s">
        <v>53</v>
      </c>
      <c r="G15" s="12" t="s">
        <v>54</v>
      </c>
      <c r="H15" s="13" t="s">
        <v>55</v>
      </c>
      <c r="I15" s="13"/>
      <c r="J15" s="13"/>
      <c r="K15" s="11" t="str">
        <f>"120,0"</f>
        <v>120,0</v>
      </c>
      <c r="L15" s="12" t="str">
        <f>"98,7468"</f>
        <v>98,7468</v>
      </c>
      <c r="M15" s="11" t="s">
        <v>560</v>
      </c>
    </row>
    <row r="17" spans="1:12" ht="15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3" ht="12.75">
      <c r="A18" s="11" t="s">
        <v>562</v>
      </c>
      <c r="B18" s="11" t="s">
        <v>563</v>
      </c>
      <c r="C18" s="11" t="s">
        <v>323</v>
      </c>
      <c r="D18" s="11" t="str">
        <f>"0,7347"</f>
        <v>0,7347</v>
      </c>
      <c r="E18" s="11" t="s">
        <v>540</v>
      </c>
      <c r="F18" s="11" t="s">
        <v>541</v>
      </c>
      <c r="G18" s="12" t="s">
        <v>43</v>
      </c>
      <c r="H18" s="13" t="s">
        <v>45</v>
      </c>
      <c r="I18" s="13" t="s">
        <v>45</v>
      </c>
      <c r="J18" s="13"/>
      <c r="K18" s="11" t="str">
        <f>"100,0"</f>
        <v>100,0</v>
      </c>
      <c r="L18" s="12" t="str">
        <f>"75,7476"</f>
        <v>75,7476</v>
      </c>
      <c r="M18" s="11" t="s">
        <v>542</v>
      </c>
    </row>
    <row r="20" spans="1:12" ht="15">
      <c r="A20" s="47" t="s">
        <v>313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 ht="12.75">
      <c r="A21" s="11" t="s">
        <v>565</v>
      </c>
      <c r="B21" s="11" t="s">
        <v>566</v>
      </c>
      <c r="C21" s="11" t="s">
        <v>567</v>
      </c>
      <c r="D21" s="11" t="str">
        <f>"0,8128"</f>
        <v>0,8128</v>
      </c>
      <c r="E21" s="11" t="s">
        <v>52</v>
      </c>
      <c r="F21" s="11" t="s">
        <v>53</v>
      </c>
      <c r="G21" s="12" t="s">
        <v>95</v>
      </c>
      <c r="H21" s="12" t="s">
        <v>55</v>
      </c>
      <c r="I21" s="12" t="s">
        <v>76</v>
      </c>
      <c r="J21" s="13"/>
      <c r="K21" s="11" t="str">
        <f>"135,0"</f>
        <v>135,0</v>
      </c>
      <c r="L21" s="12" t="str">
        <f>"109,7280"</f>
        <v>109,7280</v>
      </c>
      <c r="M21" s="11" t="s">
        <v>387</v>
      </c>
    </row>
    <row r="23" spans="1:12" ht="15">
      <c r="A23" s="47" t="s">
        <v>70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3" ht="12.75">
      <c r="A24" s="11" t="s">
        <v>569</v>
      </c>
      <c r="B24" s="11" t="s">
        <v>570</v>
      </c>
      <c r="C24" s="11" t="s">
        <v>571</v>
      </c>
      <c r="D24" s="11" t="str">
        <f>"0,7902"</f>
        <v>0,7902</v>
      </c>
      <c r="E24" s="11" t="s">
        <v>108</v>
      </c>
      <c r="F24" s="11" t="s">
        <v>572</v>
      </c>
      <c r="G24" s="12" t="s">
        <v>110</v>
      </c>
      <c r="H24" s="12" t="s">
        <v>93</v>
      </c>
      <c r="I24" s="13"/>
      <c r="J24" s="13"/>
      <c r="K24" s="11" t="str">
        <f>"165,0"</f>
        <v>165,0</v>
      </c>
      <c r="L24" s="12" t="str">
        <f>"131,6868"</f>
        <v>131,6868</v>
      </c>
      <c r="M24" s="11" t="s">
        <v>116</v>
      </c>
    </row>
    <row r="26" spans="1:12" ht="15">
      <c r="A26" s="47" t="s">
        <v>30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ht="12.75">
      <c r="A27" s="11" t="s">
        <v>105</v>
      </c>
      <c r="B27" s="11" t="s">
        <v>106</v>
      </c>
      <c r="C27" s="11" t="s">
        <v>107</v>
      </c>
      <c r="D27" s="11" t="str">
        <f>"0,6805"</f>
        <v>0,6805</v>
      </c>
      <c r="E27" s="11" t="s">
        <v>108</v>
      </c>
      <c r="F27" s="11" t="s">
        <v>109</v>
      </c>
      <c r="G27" s="12" t="s">
        <v>113</v>
      </c>
      <c r="H27" s="12" t="s">
        <v>114</v>
      </c>
      <c r="I27" s="12" t="s">
        <v>115</v>
      </c>
      <c r="J27" s="13"/>
      <c r="K27" s="11" t="str">
        <f>"230,0"</f>
        <v>230,0</v>
      </c>
      <c r="L27" s="12" t="str">
        <f>"158,0801"</f>
        <v>158,0801</v>
      </c>
      <c r="M27" s="11" t="s">
        <v>116</v>
      </c>
    </row>
    <row r="29" spans="1:12" ht="15">
      <c r="A29" s="47" t="s">
        <v>137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2.75">
      <c r="A30" s="14" t="s">
        <v>574</v>
      </c>
      <c r="B30" s="14" t="s">
        <v>575</v>
      </c>
      <c r="C30" s="14" t="s">
        <v>576</v>
      </c>
      <c r="D30" s="14" t="str">
        <f>"0,6329"</f>
        <v>0,6329</v>
      </c>
      <c r="E30" s="14" t="s">
        <v>540</v>
      </c>
      <c r="F30" s="14" t="s">
        <v>541</v>
      </c>
      <c r="G30" s="16" t="s">
        <v>110</v>
      </c>
      <c r="H30" s="15" t="s">
        <v>94</v>
      </c>
      <c r="I30" s="15" t="s">
        <v>96</v>
      </c>
      <c r="J30" s="16"/>
      <c r="K30" s="14" t="str">
        <f>"180,0"</f>
        <v>180,0</v>
      </c>
      <c r="L30" s="15" t="str">
        <f>"128,7319"</f>
        <v>128,7319</v>
      </c>
      <c r="M30" s="14" t="s">
        <v>542</v>
      </c>
    </row>
    <row r="31" spans="1:13" ht="12.75">
      <c r="A31" s="17" t="s">
        <v>578</v>
      </c>
      <c r="B31" s="17" t="s">
        <v>579</v>
      </c>
      <c r="C31" s="17" t="s">
        <v>580</v>
      </c>
      <c r="D31" s="17" t="str">
        <f>"0,6209"</f>
        <v>0,6209</v>
      </c>
      <c r="E31" s="17" t="s">
        <v>81</v>
      </c>
      <c r="F31" s="17" t="s">
        <v>318</v>
      </c>
      <c r="G31" s="18" t="s">
        <v>96</v>
      </c>
      <c r="H31" s="19" t="s">
        <v>130</v>
      </c>
      <c r="I31" s="19"/>
      <c r="J31" s="19"/>
      <c r="K31" s="17" t="str">
        <f>"180,0"</f>
        <v>180,0</v>
      </c>
      <c r="L31" s="18" t="str">
        <f>"116,2325"</f>
        <v>116,2325</v>
      </c>
      <c r="M31" s="17" t="s">
        <v>319</v>
      </c>
    </row>
    <row r="33" spans="1:12" ht="15">
      <c r="A33" s="47" t="s">
        <v>47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 ht="12.75">
      <c r="A34" s="14" t="s">
        <v>582</v>
      </c>
      <c r="B34" s="14" t="s">
        <v>583</v>
      </c>
      <c r="C34" s="14" t="s">
        <v>584</v>
      </c>
      <c r="D34" s="14" t="str">
        <f>"0,5910"</f>
        <v>0,5910</v>
      </c>
      <c r="E34" s="14" t="s">
        <v>317</v>
      </c>
      <c r="F34" s="14" t="s">
        <v>318</v>
      </c>
      <c r="G34" s="15" t="s">
        <v>288</v>
      </c>
      <c r="H34" s="15" t="s">
        <v>207</v>
      </c>
      <c r="I34" s="15" t="s">
        <v>172</v>
      </c>
      <c r="J34" s="16"/>
      <c r="K34" s="14" t="str">
        <f>"235,0"</f>
        <v>235,0</v>
      </c>
      <c r="L34" s="15" t="str">
        <f>"143,0516"</f>
        <v>143,0516</v>
      </c>
      <c r="M34" s="14" t="s">
        <v>319</v>
      </c>
    </row>
    <row r="35" spans="1:13" ht="12.75">
      <c r="A35" s="20" t="s">
        <v>399</v>
      </c>
      <c r="B35" s="20" t="s">
        <v>400</v>
      </c>
      <c r="C35" s="20" t="s">
        <v>401</v>
      </c>
      <c r="D35" s="20" t="str">
        <f>"0,5901"</f>
        <v>0,5901</v>
      </c>
      <c r="E35" s="20" t="s">
        <v>402</v>
      </c>
      <c r="F35" s="20" t="s">
        <v>53</v>
      </c>
      <c r="G35" s="22" t="s">
        <v>207</v>
      </c>
      <c r="H35" s="22" t="s">
        <v>152</v>
      </c>
      <c r="I35" s="22" t="s">
        <v>227</v>
      </c>
      <c r="J35" s="21"/>
      <c r="K35" s="20" t="str">
        <f>"257,5"</f>
        <v>257,5</v>
      </c>
      <c r="L35" s="22" t="str">
        <f>"151,9507"</f>
        <v>151,9507</v>
      </c>
      <c r="M35" s="20" t="s">
        <v>404</v>
      </c>
    </row>
    <row r="36" spans="1:13" ht="12.75">
      <c r="A36" s="20" t="s">
        <v>586</v>
      </c>
      <c r="B36" s="20" t="s">
        <v>587</v>
      </c>
      <c r="C36" s="20" t="s">
        <v>588</v>
      </c>
      <c r="D36" s="20" t="str">
        <f>"0,6018"</f>
        <v>0,6018</v>
      </c>
      <c r="E36" s="20" t="s">
        <v>52</v>
      </c>
      <c r="F36" s="20" t="s">
        <v>53</v>
      </c>
      <c r="G36" s="22" t="s">
        <v>57</v>
      </c>
      <c r="H36" s="22" t="s">
        <v>85</v>
      </c>
      <c r="I36" s="22" t="s">
        <v>147</v>
      </c>
      <c r="J36" s="21"/>
      <c r="K36" s="20" t="str">
        <f>"142,5"</f>
        <v>142,5</v>
      </c>
      <c r="L36" s="22" t="str">
        <f>"85,7565"</f>
        <v>85,7565</v>
      </c>
      <c r="M36" s="20" t="s">
        <v>589</v>
      </c>
    </row>
    <row r="37" spans="1:13" ht="12.75">
      <c r="A37" s="17" t="s">
        <v>591</v>
      </c>
      <c r="B37" s="17" t="s">
        <v>592</v>
      </c>
      <c r="C37" s="17" t="s">
        <v>593</v>
      </c>
      <c r="D37" s="17" t="str">
        <f>"0,5869"</f>
        <v>0,5869</v>
      </c>
      <c r="E37" s="17" t="s">
        <v>594</v>
      </c>
      <c r="F37" s="17" t="s">
        <v>53</v>
      </c>
      <c r="G37" s="18" t="s">
        <v>115</v>
      </c>
      <c r="H37" s="18" t="s">
        <v>595</v>
      </c>
      <c r="I37" s="19" t="s">
        <v>174</v>
      </c>
      <c r="J37" s="19"/>
      <c r="K37" s="17" t="str">
        <f>"237,5"</f>
        <v>237,5</v>
      </c>
      <c r="L37" s="18" t="str">
        <f>"139,8069"</f>
        <v>139,8069</v>
      </c>
      <c r="M37" s="17" t="s">
        <v>159</v>
      </c>
    </row>
    <row r="39" spans="1:12" ht="15">
      <c r="A39" s="47" t="s">
        <v>160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ht="12.75">
      <c r="A40" s="14" t="s">
        <v>597</v>
      </c>
      <c r="B40" s="14" t="s">
        <v>598</v>
      </c>
      <c r="C40" s="14" t="s">
        <v>599</v>
      </c>
      <c r="D40" s="14" t="str">
        <f>"0,5619"</f>
        <v>0,5619</v>
      </c>
      <c r="E40" s="14" t="s">
        <v>324</v>
      </c>
      <c r="F40" s="14" t="s">
        <v>409</v>
      </c>
      <c r="G40" s="16" t="s">
        <v>113</v>
      </c>
      <c r="H40" s="15" t="s">
        <v>114</v>
      </c>
      <c r="I40" s="16" t="s">
        <v>207</v>
      </c>
      <c r="J40" s="16"/>
      <c r="K40" s="14" t="str">
        <f>"220,0"</f>
        <v>220,0</v>
      </c>
      <c r="L40" s="15" t="str">
        <f>"127,3265"</f>
        <v>127,3265</v>
      </c>
      <c r="M40" s="14" t="s">
        <v>600</v>
      </c>
    </row>
    <row r="41" spans="1:13" ht="12.75">
      <c r="A41" s="20" t="s">
        <v>602</v>
      </c>
      <c r="B41" s="20" t="s">
        <v>603</v>
      </c>
      <c r="C41" s="20" t="s">
        <v>604</v>
      </c>
      <c r="D41" s="20" t="str">
        <f>"0,5645"</f>
        <v>0,5645</v>
      </c>
      <c r="E41" s="20" t="s">
        <v>64</v>
      </c>
      <c r="F41" s="20" t="s">
        <v>65</v>
      </c>
      <c r="G41" s="22" t="s">
        <v>152</v>
      </c>
      <c r="H41" s="22" t="s">
        <v>290</v>
      </c>
      <c r="I41" s="22" t="s">
        <v>175</v>
      </c>
      <c r="J41" s="21"/>
      <c r="K41" s="20" t="str">
        <f>"260,0"</f>
        <v>260,0</v>
      </c>
      <c r="L41" s="22" t="str">
        <f>"146,7700"</f>
        <v>146,7700</v>
      </c>
      <c r="M41" s="20" t="s">
        <v>69</v>
      </c>
    </row>
    <row r="42" spans="1:13" ht="12.75">
      <c r="A42" s="20" t="s">
        <v>421</v>
      </c>
      <c r="B42" s="20" t="s">
        <v>422</v>
      </c>
      <c r="C42" s="20" t="s">
        <v>423</v>
      </c>
      <c r="D42" s="20" t="str">
        <f>"0,5613"</f>
        <v>0,5613</v>
      </c>
      <c r="E42" s="20" t="s">
        <v>424</v>
      </c>
      <c r="F42" s="20" t="s">
        <v>53</v>
      </c>
      <c r="G42" s="22" t="s">
        <v>115</v>
      </c>
      <c r="H42" s="22" t="s">
        <v>152</v>
      </c>
      <c r="I42" s="21" t="s">
        <v>290</v>
      </c>
      <c r="J42" s="21"/>
      <c r="K42" s="20" t="str">
        <f>"240,0"</f>
        <v>240,0</v>
      </c>
      <c r="L42" s="22" t="str">
        <f>"134,7120"</f>
        <v>134,7120</v>
      </c>
      <c r="M42" s="20" t="s">
        <v>425</v>
      </c>
    </row>
    <row r="43" spans="1:13" ht="12.75">
      <c r="A43" s="17" t="s">
        <v>184</v>
      </c>
      <c r="B43" s="17" t="s">
        <v>185</v>
      </c>
      <c r="C43" s="17" t="s">
        <v>186</v>
      </c>
      <c r="D43" s="17" t="str">
        <f>"0,5543"</f>
        <v>0,5543</v>
      </c>
      <c r="E43" s="17" t="s">
        <v>187</v>
      </c>
      <c r="F43" s="17" t="s">
        <v>53</v>
      </c>
      <c r="G43" s="18" t="s">
        <v>98</v>
      </c>
      <c r="H43" s="19" t="s">
        <v>188</v>
      </c>
      <c r="I43" s="19" t="s">
        <v>188</v>
      </c>
      <c r="J43" s="19"/>
      <c r="K43" s="17" t="str">
        <f>"200,0"</f>
        <v>200,0</v>
      </c>
      <c r="L43" s="18" t="str">
        <f>"110,8600"</f>
        <v>110,8600</v>
      </c>
      <c r="M43" s="17" t="s">
        <v>189</v>
      </c>
    </row>
    <row r="45" ht="15">
      <c r="E45" s="9" t="s">
        <v>14</v>
      </c>
    </row>
    <row r="46" ht="15">
      <c r="E46" s="9" t="s">
        <v>15</v>
      </c>
    </row>
    <row r="47" ht="15">
      <c r="E47" s="9" t="s">
        <v>16</v>
      </c>
    </row>
    <row r="48" ht="15">
      <c r="E48" s="9" t="s">
        <v>17</v>
      </c>
    </row>
    <row r="49" spans="1:5" s="3" customFormat="1" ht="15">
      <c r="A49" s="4"/>
      <c r="B49" s="4"/>
      <c r="C49" s="4"/>
      <c r="D49" s="4"/>
      <c r="E49" s="9" t="s">
        <v>17</v>
      </c>
    </row>
    <row r="50" spans="1:5" s="3" customFormat="1" ht="15">
      <c r="A50" s="4"/>
      <c r="B50" s="4"/>
      <c r="C50" s="4"/>
      <c r="D50" s="4"/>
      <c r="E50" s="9" t="s">
        <v>18</v>
      </c>
    </row>
    <row r="51" spans="1:5" s="3" customFormat="1" ht="15">
      <c r="A51" s="4"/>
      <c r="B51" s="4"/>
      <c r="C51" s="4"/>
      <c r="D51" s="4"/>
      <c r="E51" s="9"/>
    </row>
    <row r="53" spans="1:5" s="3" customFormat="1" ht="18">
      <c r="A53" s="10" t="s">
        <v>19</v>
      </c>
      <c r="B53" s="10"/>
      <c r="C53" s="4"/>
      <c r="D53" s="4"/>
      <c r="E53" s="4"/>
    </row>
    <row r="54" spans="1:5" s="3" customFormat="1" ht="15">
      <c r="A54" s="23" t="s">
        <v>216</v>
      </c>
      <c r="B54" s="23"/>
      <c r="C54" s="4"/>
      <c r="D54" s="4"/>
      <c r="E54" s="4"/>
    </row>
    <row r="55" spans="1:5" s="3" customFormat="1" ht="14.25">
      <c r="A55" s="25"/>
      <c r="B55" s="26" t="s">
        <v>606</v>
      </c>
      <c r="C55" s="4"/>
      <c r="D55" s="4"/>
      <c r="E55" s="4"/>
    </row>
    <row r="56" spans="1:5" s="3" customFormat="1" ht="15">
      <c r="A56" s="27" t="s">
        <v>218</v>
      </c>
      <c r="B56" s="27" t="s">
        <v>219</v>
      </c>
      <c r="C56" s="27" t="s">
        <v>220</v>
      </c>
      <c r="D56" s="27" t="s">
        <v>221</v>
      </c>
      <c r="E56" s="27" t="s">
        <v>222</v>
      </c>
    </row>
    <row r="57" spans="1:5" s="3" customFormat="1" ht="12.75">
      <c r="A57" s="24" t="s">
        <v>531</v>
      </c>
      <c r="B57" s="4" t="s">
        <v>246</v>
      </c>
      <c r="C57" s="4" t="s">
        <v>607</v>
      </c>
      <c r="D57" s="4" t="s">
        <v>39</v>
      </c>
      <c r="E57" s="28" t="s">
        <v>608</v>
      </c>
    </row>
    <row r="59" spans="1:5" s="3" customFormat="1" ht="14.25">
      <c r="A59" s="25"/>
      <c r="B59" s="26" t="s">
        <v>217</v>
      </c>
      <c r="C59" s="4"/>
      <c r="D59" s="4"/>
      <c r="E59" s="4"/>
    </row>
    <row r="60" spans="1:5" s="3" customFormat="1" ht="15">
      <c r="A60" s="27" t="s">
        <v>218</v>
      </c>
      <c r="B60" s="27" t="s">
        <v>219</v>
      </c>
      <c r="C60" s="27" t="s">
        <v>220</v>
      </c>
      <c r="D60" s="27" t="s">
        <v>221</v>
      </c>
      <c r="E60" s="27" t="s">
        <v>222</v>
      </c>
    </row>
    <row r="61" spans="1:5" s="3" customFormat="1" ht="12.75">
      <c r="A61" s="24" t="s">
        <v>536</v>
      </c>
      <c r="B61" s="4" t="s">
        <v>217</v>
      </c>
      <c r="C61" s="4" t="s">
        <v>607</v>
      </c>
      <c r="D61" s="4" t="s">
        <v>121</v>
      </c>
      <c r="E61" s="28" t="s">
        <v>609</v>
      </c>
    </row>
    <row r="62" spans="1:5" s="3" customFormat="1" ht="12.75">
      <c r="A62" s="24" t="s">
        <v>543</v>
      </c>
      <c r="B62" s="4" t="s">
        <v>217</v>
      </c>
      <c r="C62" s="4" t="s">
        <v>607</v>
      </c>
      <c r="D62" s="4" t="s">
        <v>535</v>
      </c>
      <c r="E62" s="28" t="s">
        <v>610</v>
      </c>
    </row>
    <row r="63" spans="1:5" s="3" customFormat="1" ht="12.75">
      <c r="A63" s="24" t="s">
        <v>548</v>
      </c>
      <c r="B63" s="4" t="s">
        <v>217</v>
      </c>
      <c r="C63" s="4" t="s">
        <v>611</v>
      </c>
      <c r="D63" s="4" t="s">
        <v>43</v>
      </c>
      <c r="E63" s="28" t="s">
        <v>612</v>
      </c>
    </row>
    <row r="65" spans="1:5" s="3" customFormat="1" ht="14.25">
      <c r="A65" s="25"/>
      <c r="B65" s="26" t="s">
        <v>278</v>
      </c>
      <c r="C65" s="4"/>
      <c r="D65" s="4"/>
      <c r="E65" s="4"/>
    </row>
    <row r="66" spans="1:5" s="3" customFormat="1" ht="15">
      <c r="A66" s="27" t="s">
        <v>218</v>
      </c>
      <c r="B66" s="27" t="s">
        <v>219</v>
      </c>
      <c r="C66" s="27" t="s">
        <v>220</v>
      </c>
      <c r="D66" s="27" t="s">
        <v>221</v>
      </c>
      <c r="E66" s="27" t="s">
        <v>222</v>
      </c>
    </row>
    <row r="67" spans="1:5" s="3" customFormat="1" ht="12.75">
      <c r="A67" s="24" t="s">
        <v>556</v>
      </c>
      <c r="B67" s="4" t="s">
        <v>469</v>
      </c>
      <c r="C67" s="4" t="s">
        <v>237</v>
      </c>
      <c r="D67" s="4" t="s">
        <v>54</v>
      </c>
      <c r="E67" s="28" t="s">
        <v>613</v>
      </c>
    </row>
    <row r="68" spans="1:5" s="3" customFormat="1" ht="12.75">
      <c r="A68" s="24" t="s">
        <v>561</v>
      </c>
      <c r="B68" s="4" t="s">
        <v>279</v>
      </c>
      <c r="C68" s="4" t="s">
        <v>226</v>
      </c>
      <c r="D68" s="4" t="s">
        <v>43</v>
      </c>
      <c r="E68" s="28" t="s">
        <v>614</v>
      </c>
    </row>
    <row r="69" spans="1:5" s="3" customFormat="1" ht="12.75">
      <c r="A69" s="24" t="s">
        <v>552</v>
      </c>
      <c r="B69" s="4" t="s">
        <v>279</v>
      </c>
      <c r="C69" s="4" t="s">
        <v>611</v>
      </c>
      <c r="D69" s="4" t="s">
        <v>37</v>
      </c>
      <c r="E69" s="28" t="s">
        <v>615</v>
      </c>
    </row>
    <row r="72" spans="1:5" s="3" customFormat="1" ht="15">
      <c r="A72" s="23" t="s">
        <v>229</v>
      </c>
      <c r="B72" s="23"/>
      <c r="C72" s="4"/>
      <c r="D72" s="4"/>
      <c r="E72" s="4"/>
    </row>
    <row r="73" spans="1:5" s="3" customFormat="1" ht="14.25">
      <c r="A73" s="25"/>
      <c r="B73" s="26" t="s">
        <v>230</v>
      </c>
      <c r="C73" s="4"/>
      <c r="D73" s="4"/>
      <c r="E73" s="4"/>
    </row>
    <row r="74" spans="1:5" s="3" customFormat="1" ht="15">
      <c r="A74" s="27" t="s">
        <v>218</v>
      </c>
      <c r="B74" s="27" t="s">
        <v>219</v>
      </c>
      <c r="C74" s="27" t="s">
        <v>220</v>
      </c>
      <c r="D74" s="27" t="s">
        <v>221</v>
      </c>
      <c r="E74" s="27" t="s">
        <v>222</v>
      </c>
    </row>
    <row r="75" spans="1:5" s="3" customFormat="1" ht="12.75">
      <c r="A75" s="24" t="s">
        <v>573</v>
      </c>
      <c r="B75" s="4" t="s">
        <v>231</v>
      </c>
      <c r="C75" s="4" t="s">
        <v>234</v>
      </c>
      <c r="D75" s="4" t="s">
        <v>96</v>
      </c>
      <c r="E75" s="28" t="s">
        <v>616</v>
      </c>
    </row>
    <row r="76" spans="1:5" s="3" customFormat="1" ht="12.75">
      <c r="A76" s="24" t="s">
        <v>577</v>
      </c>
      <c r="B76" s="4" t="s">
        <v>452</v>
      </c>
      <c r="C76" s="4" t="s">
        <v>234</v>
      </c>
      <c r="D76" s="4" t="s">
        <v>96</v>
      </c>
      <c r="E76" s="28" t="s">
        <v>617</v>
      </c>
    </row>
    <row r="78" spans="1:5" s="3" customFormat="1" ht="14.25">
      <c r="A78" s="25"/>
      <c r="B78" s="26" t="s">
        <v>245</v>
      </c>
      <c r="C78" s="4"/>
      <c r="D78" s="4"/>
      <c r="E78" s="4"/>
    </row>
    <row r="79" spans="1:5" s="3" customFormat="1" ht="15">
      <c r="A79" s="27" t="s">
        <v>218</v>
      </c>
      <c r="B79" s="27" t="s">
        <v>219</v>
      </c>
      <c r="C79" s="27" t="s">
        <v>220</v>
      </c>
      <c r="D79" s="27" t="s">
        <v>221</v>
      </c>
      <c r="E79" s="27" t="s">
        <v>222</v>
      </c>
    </row>
    <row r="80" spans="1:5" s="3" customFormat="1" ht="12.75">
      <c r="A80" s="24" t="s">
        <v>104</v>
      </c>
      <c r="B80" s="4" t="s">
        <v>246</v>
      </c>
      <c r="C80" s="4" t="s">
        <v>226</v>
      </c>
      <c r="D80" s="4" t="s">
        <v>115</v>
      </c>
      <c r="E80" s="28" t="s">
        <v>618</v>
      </c>
    </row>
    <row r="81" spans="1:5" s="3" customFormat="1" ht="12.75">
      <c r="A81" s="24" t="s">
        <v>581</v>
      </c>
      <c r="B81" s="4" t="s">
        <v>246</v>
      </c>
      <c r="C81" s="4" t="s">
        <v>223</v>
      </c>
      <c r="D81" s="4" t="s">
        <v>172</v>
      </c>
      <c r="E81" s="28" t="s">
        <v>619</v>
      </c>
    </row>
    <row r="82" spans="1:5" s="3" customFormat="1" ht="12.75">
      <c r="A82" s="24" t="s">
        <v>568</v>
      </c>
      <c r="B82" s="4" t="s">
        <v>246</v>
      </c>
      <c r="C82" s="4" t="s">
        <v>237</v>
      </c>
      <c r="D82" s="4" t="s">
        <v>93</v>
      </c>
      <c r="E82" s="28" t="s">
        <v>620</v>
      </c>
    </row>
    <row r="83" spans="1:5" s="3" customFormat="1" ht="12.75">
      <c r="A83" s="24" t="s">
        <v>596</v>
      </c>
      <c r="B83" s="4" t="s">
        <v>246</v>
      </c>
      <c r="C83" s="4" t="s">
        <v>242</v>
      </c>
      <c r="D83" s="4" t="s">
        <v>114</v>
      </c>
      <c r="E83" s="28" t="s">
        <v>621</v>
      </c>
    </row>
    <row r="85" spans="1:5" s="3" customFormat="1" ht="14.25">
      <c r="A85" s="25"/>
      <c r="B85" s="26" t="s">
        <v>217</v>
      </c>
      <c r="C85" s="4"/>
      <c r="D85" s="4"/>
      <c r="E85" s="4"/>
    </row>
    <row r="86" spans="1:5" s="3" customFormat="1" ht="15">
      <c r="A86" s="27" t="s">
        <v>218</v>
      </c>
      <c r="B86" s="27" t="s">
        <v>219</v>
      </c>
      <c r="C86" s="27" t="s">
        <v>220</v>
      </c>
      <c r="D86" s="27" t="s">
        <v>221</v>
      </c>
      <c r="E86" s="27" t="s">
        <v>222</v>
      </c>
    </row>
    <row r="87" spans="1:5" s="3" customFormat="1" ht="12.75">
      <c r="A87" s="24" t="s">
        <v>398</v>
      </c>
      <c r="B87" s="4" t="s">
        <v>217</v>
      </c>
      <c r="C87" s="4" t="s">
        <v>223</v>
      </c>
      <c r="D87" s="4" t="s">
        <v>227</v>
      </c>
      <c r="E87" s="28" t="s">
        <v>622</v>
      </c>
    </row>
    <row r="88" spans="1:5" s="3" customFormat="1" ht="12.75">
      <c r="A88" s="24" t="s">
        <v>601</v>
      </c>
      <c r="B88" s="4" t="s">
        <v>217</v>
      </c>
      <c r="C88" s="4" t="s">
        <v>242</v>
      </c>
      <c r="D88" s="4" t="s">
        <v>175</v>
      </c>
      <c r="E88" s="28" t="s">
        <v>623</v>
      </c>
    </row>
    <row r="89" spans="1:5" s="3" customFormat="1" ht="12.75">
      <c r="A89" s="24" t="s">
        <v>420</v>
      </c>
      <c r="B89" s="4" t="s">
        <v>217</v>
      </c>
      <c r="C89" s="4" t="s">
        <v>242</v>
      </c>
      <c r="D89" s="4" t="s">
        <v>152</v>
      </c>
      <c r="E89" s="28" t="s">
        <v>624</v>
      </c>
    </row>
    <row r="90" spans="1:5" s="3" customFormat="1" ht="12.75">
      <c r="A90" s="24" t="s">
        <v>183</v>
      </c>
      <c r="B90" s="4" t="s">
        <v>217</v>
      </c>
      <c r="C90" s="4" t="s">
        <v>242</v>
      </c>
      <c r="D90" s="4" t="s">
        <v>98</v>
      </c>
      <c r="E90" s="28" t="s">
        <v>692</v>
      </c>
    </row>
    <row r="91" spans="1:5" s="3" customFormat="1" ht="12.75">
      <c r="A91" s="24" t="s">
        <v>564</v>
      </c>
      <c r="B91" s="4" t="s">
        <v>217</v>
      </c>
      <c r="C91" s="4" t="s">
        <v>611</v>
      </c>
      <c r="D91" s="4" t="s">
        <v>76</v>
      </c>
      <c r="E91" s="28" t="s">
        <v>625</v>
      </c>
    </row>
    <row r="92" spans="1:5" s="3" customFormat="1" ht="12.75">
      <c r="A92" s="24" t="s">
        <v>585</v>
      </c>
      <c r="B92" s="4" t="s">
        <v>217</v>
      </c>
      <c r="C92" s="4" t="s">
        <v>223</v>
      </c>
      <c r="D92" s="4" t="s">
        <v>147</v>
      </c>
      <c r="E92" s="28" t="s">
        <v>626</v>
      </c>
    </row>
    <row r="94" spans="1:5" s="3" customFormat="1" ht="14.25">
      <c r="A94" s="25"/>
      <c r="B94" s="26" t="s">
        <v>278</v>
      </c>
      <c r="C94" s="4"/>
      <c r="D94" s="4"/>
      <c r="E94" s="4"/>
    </row>
    <row r="95" spans="1:5" s="3" customFormat="1" ht="15">
      <c r="A95" s="27" t="s">
        <v>218</v>
      </c>
      <c r="B95" s="27" t="s">
        <v>219</v>
      </c>
      <c r="C95" s="27" t="s">
        <v>220</v>
      </c>
      <c r="D95" s="27" t="s">
        <v>221</v>
      </c>
      <c r="E95" s="27" t="s">
        <v>222</v>
      </c>
    </row>
    <row r="96" spans="1:5" s="3" customFormat="1" ht="12.75">
      <c r="A96" s="24" t="s">
        <v>590</v>
      </c>
      <c r="B96" s="4" t="s">
        <v>279</v>
      </c>
      <c r="C96" s="4" t="s">
        <v>223</v>
      </c>
      <c r="D96" s="4" t="s">
        <v>595</v>
      </c>
      <c r="E96" s="28" t="s">
        <v>627</v>
      </c>
    </row>
  </sheetData>
  <sheetProtection/>
  <mergeCells count="21">
    <mergeCell ref="A23:L23"/>
    <mergeCell ref="A26:L26"/>
    <mergeCell ref="A29:L29"/>
    <mergeCell ref="A33:L33"/>
    <mergeCell ref="A39:L39"/>
    <mergeCell ref="E3:E4"/>
    <mergeCell ref="A5:L5"/>
    <mergeCell ref="A10:L10"/>
    <mergeCell ref="A14:L14"/>
    <mergeCell ref="A17:L17"/>
    <mergeCell ref="A20:L20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600" verticalDpi="600" orientation="landscape" scale="71" r:id="rId2"/>
  <headerFooter alignWithMargins="0">
    <oddFooter>&amp;L&amp;G&amp;R&amp;D&amp;T&amp;P</oddFoot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PageLayoutView="0" workbookViewId="0" topLeftCell="A1">
      <selection activeCell="D8" sqref="D8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6" width="31.7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7.625" style="4" bestFit="1" customWidth="1"/>
    <col min="14" max="16384" width="9.125" style="3" customWidth="1"/>
  </cols>
  <sheetData>
    <row r="1" spans="1:13" s="2" customFormat="1" ht="28.5" customHeight="1">
      <c r="A1" s="44" t="s">
        <v>354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28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8">
        <v>1</v>
      </c>
      <c r="H4" s="8">
        <v>2</v>
      </c>
      <c r="I4" s="8">
        <v>3</v>
      </c>
      <c r="J4" s="8" t="s">
        <v>8</v>
      </c>
      <c r="K4" s="42"/>
      <c r="L4" s="42"/>
      <c r="M4" s="32"/>
    </row>
    <row r="6" spans="1:12" ht="15">
      <c r="A6" s="47" t="s">
        <v>70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ht="12.75">
      <c r="A7" s="11" t="s">
        <v>363</v>
      </c>
      <c r="B7" s="11" t="s">
        <v>364</v>
      </c>
      <c r="C7" s="11" t="s">
        <v>365</v>
      </c>
      <c r="D7" s="11" t="str">
        <f>"0,7398"</f>
        <v>0,7398</v>
      </c>
      <c r="E7" s="11" t="s">
        <v>52</v>
      </c>
      <c r="F7" s="11" t="s">
        <v>53</v>
      </c>
      <c r="G7" s="13" t="s">
        <v>45</v>
      </c>
      <c r="H7" s="13" t="s">
        <v>45</v>
      </c>
      <c r="I7" s="12" t="s">
        <v>45</v>
      </c>
      <c r="J7" s="13"/>
      <c r="K7" s="11" t="str">
        <f>"110,0"</f>
        <v>110,0</v>
      </c>
      <c r="L7" s="12" t="str">
        <f>"81,3780"</f>
        <v>81,3780</v>
      </c>
      <c r="M7" s="11" t="s">
        <v>159</v>
      </c>
    </row>
    <row r="8" spans="1:13" ht="12.75">
      <c r="A8" s="11" t="s">
        <v>356</v>
      </c>
      <c r="B8" s="11" t="s">
        <v>357</v>
      </c>
      <c r="C8" s="11" t="s">
        <v>696</v>
      </c>
      <c r="D8" s="11" t="str">
        <f>"0,7773"</f>
        <v>0,7773</v>
      </c>
      <c r="E8" s="11" t="s">
        <v>359</v>
      </c>
      <c r="F8" s="11" t="s">
        <v>53</v>
      </c>
      <c r="G8" s="12" t="s">
        <v>68</v>
      </c>
      <c r="H8" s="12" t="s">
        <v>75</v>
      </c>
      <c r="I8" s="12" t="s">
        <v>360</v>
      </c>
      <c r="J8" s="13"/>
      <c r="K8" s="11" t="str">
        <f>"72,5"</f>
        <v>72,5</v>
      </c>
      <c r="L8" s="12" t="str">
        <f>"58,1012"</f>
        <v>58,1012</v>
      </c>
      <c r="M8" s="11" t="s">
        <v>361</v>
      </c>
    </row>
    <row r="10" spans="1:12" ht="15">
      <c r="A10" s="47" t="s">
        <v>30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3" ht="12.75">
      <c r="A11" s="11" t="s">
        <v>367</v>
      </c>
      <c r="B11" s="11" t="s">
        <v>368</v>
      </c>
      <c r="C11" s="11" t="s">
        <v>369</v>
      </c>
      <c r="D11" s="11" t="str">
        <f>"0,6980"</f>
        <v>0,6980</v>
      </c>
      <c r="E11" s="11" t="s">
        <v>108</v>
      </c>
      <c r="F11" s="11" t="s">
        <v>109</v>
      </c>
      <c r="G11" s="12" t="s">
        <v>39</v>
      </c>
      <c r="H11" s="12" t="s">
        <v>83</v>
      </c>
      <c r="I11" s="12" t="s">
        <v>129</v>
      </c>
      <c r="J11" s="13"/>
      <c r="K11" s="11" t="str">
        <f>"95,0"</f>
        <v>95,0</v>
      </c>
      <c r="L11" s="12" t="str">
        <f>"68,2993"</f>
        <v>68,2993</v>
      </c>
      <c r="M11" s="11" t="s">
        <v>116</v>
      </c>
    </row>
    <row r="13" spans="1:12" ht="15">
      <c r="A13" s="47" t="s">
        <v>137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3" ht="12.75">
      <c r="A14" s="14" t="s">
        <v>371</v>
      </c>
      <c r="B14" s="14" t="s">
        <v>372</v>
      </c>
      <c r="C14" s="14" t="s">
        <v>373</v>
      </c>
      <c r="D14" s="14" t="str">
        <f>"0,6412"</f>
        <v>0,6412</v>
      </c>
      <c r="E14" s="14" t="s">
        <v>52</v>
      </c>
      <c r="F14" s="14" t="s">
        <v>53</v>
      </c>
      <c r="G14" s="15" t="s">
        <v>374</v>
      </c>
      <c r="H14" s="16" t="s">
        <v>136</v>
      </c>
      <c r="I14" s="16" t="s">
        <v>136</v>
      </c>
      <c r="J14" s="16"/>
      <c r="K14" s="14" t="str">
        <f>"145,0"</f>
        <v>145,0</v>
      </c>
      <c r="L14" s="15" t="str">
        <f>"95,7632"</f>
        <v>95,7632</v>
      </c>
      <c r="M14" s="14" t="s">
        <v>159</v>
      </c>
    </row>
    <row r="15" spans="1:13" ht="12.75">
      <c r="A15" s="20" t="s">
        <v>371</v>
      </c>
      <c r="B15" s="20" t="s">
        <v>375</v>
      </c>
      <c r="C15" s="20" t="s">
        <v>373</v>
      </c>
      <c r="D15" s="20" t="str">
        <f>"0,6412"</f>
        <v>0,6412</v>
      </c>
      <c r="E15" s="20" t="s">
        <v>52</v>
      </c>
      <c r="F15" s="20" t="s">
        <v>53</v>
      </c>
      <c r="G15" s="22" t="s">
        <v>374</v>
      </c>
      <c r="H15" s="21" t="s">
        <v>136</v>
      </c>
      <c r="I15" s="21" t="s">
        <v>136</v>
      </c>
      <c r="J15" s="21"/>
      <c r="K15" s="20" t="str">
        <f>"145,0"</f>
        <v>145,0</v>
      </c>
      <c r="L15" s="22" t="str">
        <f>"92,9740"</f>
        <v>92,9740</v>
      </c>
      <c r="M15" s="20" t="s">
        <v>159</v>
      </c>
    </row>
    <row r="16" spans="1:13" ht="12.75">
      <c r="A16" s="20" t="s">
        <v>377</v>
      </c>
      <c r="B16" s="20" t="s">
        <v>378</v>
      </c>
      <c r="C16" s="20" t="s">
        <v>379</v>
      </c>
      <c r="D16" s="20" t="str">
        <f>"0,6284"</f>
        <v>0,6284</v>
      </c>
      <c r="E16" s="20" t="s">
        <v>380</v>
      </c>
      <c r="F16" s="20" t="s">
        <v>381</v>
      </c>
      <c r="G16" s="22" t="s">
        <v>76</v>
      </c>
      <c r="H16" s="21" t="s">
        <v>135</v>
      </c>
      <c r="I16" s="21"/>
      <c r="J16" s="21"/>
      <c r="K16" s="20" t="str">
        <f>"135,0"</f>
        <v>135,0</v>
      </c>
      <c r="L16" s="22" t="str">
        <f>"84,8340"</f>
        <v>84,8340</v>
      </c>
      <c r="M16" s="20" t="s">
        <v>382</v>
      </c>
    </row>
    <row r="17" spans="1:13" ht="12.75">
      <c r="A17" s="20" t="s">
        <v>384</v>
      </c>
      <c r="B17" s="20" t="s">
        <v>385</v>
      </c>
      <c r="C17" s="20" t="s">
        <v>386</v>
      </c>
      <c r="D17" s="20" t="str">
        <f>"0,6193"</f>
        <v>0,6193</v>
      </c>
      <c r="E17" s="20" t="s">
        <v>52</v>
      </c>
      <c r="F17" s="20" t="s">
        <v>53</v>
      </c>
      <c r="G17" s="21" t="s">
        <v>54</v>
      </c>
      <c r="H17" s="22" t="s">
        <v>57</v>
      </c>
      <c r="I17" s="21" t="s">
        <v>76</v>
      </c>
      <c r="J17" s="21"/>
      <c r="K17" s="20" t="str">
        <f>"130,0"</f>
        <v>130,0</v>
      </c>
      <c r="L17" s="22" t="str">
        <f>"80,5090"</f>
        <v>80,5090</v>
      </c>
      <c r="M17" s="20" t="s">
        <v>387</v>
      </c>
    </row>
    <row r="18" spans="1:13" ht="12.75">
      <c r="A18" s="20" t="s">
        <v>389</v>
      </c>
      <c r="B18" s="20" t="s">
        <v>390</v>
      </c>
      <c r="C18" s="20" t="s">
        <v>391</v>
      </c>
      <c r="D18" s="20" t="str">
        <f>"0,6224"</f>
        <v>0,6224</v>
      </c>
      <c r="E18" s="20" t="s">
        <v>392</v>
      </c>
      <c r="F18" s="20" t="s">
        <v>393</v>
      </c>
      <c r="G18" s="22" t="s">
        <v>45</v>
      </c>
      <c r="H18" s="22" t="s">
        <v>54</v>
      </c>
      <c r="I18" s="21" t="s">
        <v>57</v>
      </c>
      <c r="J18" s="21"/>
      <c r="K18" s="20" t="str">
        <f>"120,0"</f>
        <v>120,0</v>
      </c>
      <c r="L18" s="22" t="str">
        <f>"74,6880"</f>
        <v>74,6880</v>
      </c>
      <c r="M18" s="20" t="s">
        <v>159</v>
      </c>
    </row>
    <row r="19" spans="1:13" ht="12.75">
      <c r="A19" s="17" t="s">
        <v>395</v>
      </c>
      <c r="B19" s="17" t="s">
        <v>396</v>
      </c>
      <c r="C19" s="17" t="s">
        <v>386</v>
      </c>
      <c r="D19" s="17" t="str">
        <f>"0,6193"</f>
        <v>0,6193</v>
      </c>
      <c r="E19" s="17" t="s">
        <v>52</v>
      </c>
      <c r="F19" s="17" t="s">
        <v>53</v>
      </c>
      <c r="G19" s="18" t="s">
        <v>44</v>
      </c>
      <c r="H19" s="19" t="s">
        <v>95</v>
      </c>
      <c r="I19" s="19" t="s">
        <v>95</v>
      </c>
      <c r="J19" s="19"/>
      <c r="K19" s="17" t="str">
        <f>"105,0"</f>
        <v>105,0</v>
      </c>
      <c r="L19" s="18" t="str">
        <f>"65,0265"</f>
        <v>65,0265</v>
      </c>
      <c r="M19" s="17" t="s">
        <v>397</v>
      </c>
    </row>
    <row r="21" spans="1:12" ht="15">
      <c r="A21" s="47" t="s">
        <v>47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14" t="s">
        <v>399</v>
      </c>
      <c r="B22" s="14" t="s">
        <v>400</v>
      </c>
      <c r="C22" s="14" t="s">
        <v>401</v>
      </c>
      <c r="D22" s="14" t="str">
        <f>"0,5901"</f>
        <v>0,5901</v>
      </c>
      <c r="E22" s="14" t="s">
        <v>402</v>
      </c>
      <c r="F22" s="14" t="s">
        <v>53</v>
      </c>
      <c r="G22" s="15" t="s">
        <v>200</v>
      </c>
      <c r="H22" s="15" t="s">
        <v>96</v>
      </c>
      <c r="I22" s="16" t="s">
        <v>403</v>
      </c>
      <c r="J22" s="16"/>
      <c r="K22" s="14" t="str">
        <f>"180,0"</f>
        <v>180,0</v>
      </c>
      <c r="L22" s="15" t="str">
        <f>"106,2180"</f>
        <v>106,2180</v>
      </c>
      <c r="M22" s="14" t="s">
        <v>404</v>
      </c>
    </row>
    <row r="23" spans="1:13" ht="12.75">
      <c r="A23" s="20" t="s">
        <v>406</v>
      </c>
      <c r="B23" s="20" t="s">
        <v>407</v>
      </c>
      <c r="C23" s="20" t="s">
        <v>408</v>
      </c>
      <c r="D23" s="20" t="str">
        <f>"0,5978"</f>
        <v>0,5978</v>
      </c>
      <c r="E23" s="20" t="s">
        <v>324</v>
      </c>
      <c r="F23" s="20" t="s">
        <v>409</v>
      </c>
      <c r="G23" s="22" t="s">
        <v>76</v>
      </c>
      <c r="H23" s="21" t="s">
        <v>128</v>
      </c>
      <c r="I23" s="21"/>
      <c r="J23" s="21"/>
      <c r="K23" s="20" t="str">
        <f>"135,0"</f>
        <v>135,0</v>
      </c>
      <c r="L23" s="22" t="str">
        <f>"80,7030"</f>
        <v>80,7030</v>
      </c>
      <c r="M23" s="20" t="s">
        <v>410</v>
      </c>
    </row>
    <row r="24" spans="1:13" ht="12.75">
      <c r="A24" s="17" t="s">
        <v>412</v>
      </c>
      <c r="B24" s="17" t="s">
        <v>413</v>
      </c>
      <c r="C24" s="17" t="s">
        <v>414</v>
      </c>
      <c r="D24" s="17" t="str">
        <f>"0,5873"</f>
        <v>0,5873</v>
      </c>
      <c r="E24" s="17" t="s">
        <v>402</v>
      </c>
      <c r="F24" s="17" t="s">
        <v>53</v>
      </c>
      <c r="G24" s="18" t="s">
        <v>57</v>
      </c>
      <c r="H24" s="18" t="s">
        <v>76</v>
      </c>
      <c r="I24" s="19" t="s">
        <v>128</v>
      </c>
      <c r="J24" s="19"/>
      <c r="K24" s="17" t="str">
        <f>"135,0"</f>
        <v>135,0</v>
      </c>
      <c r="L24" s="18" t="str">
        <f>"80,7126"</f>
        <v>80,7126</v>
      </c>
      <c r="M24" s="17" t="s">
        <v>404</v>
      </c>
    </row>
    <row r="26" spans="1:12" ht="15">
      <c r="A26" s="47" t="s">
        <v>160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ht="12.75">
      <c r="A27" s="14" t="s">
        <v>416</v>
      </c>
      <c r="B27" s="14" t="s">
        <v>417</v>
      </c>
      <c r="C27" s="14" t="s">
        <v>418</v>
      </c>
      <c r="D27" s="14" t="str">
        <f>"0,5558"</f>
        <v>0,5558</v>
      </c>
      <c r="E27" s="14" t="s">
        <v>402</v>
      </c>
      <c r="F27" s="14" t="s">
        <v>53</v>
      </c>
      <c r="G27" s="15" t="s">
        <v>158</v>
      </c>
      <c r="H27" s="16" t="s">
        <v>142</v>
      </c>
      <c r="I27" s="16"/>
      <c r="J27" s="16"/>
      <c r="K27" s="14" t="str">
        <f>"185,0"</f>
        <v>185,0</v>
      </c>
      <c r="L27" s="15" t="str">
        <f>"108,9924"</f>
        <v>108,9924</v>
      </c>
      <c r="M27" s="14" t="s">
        <v>159</v>
      </c>
    </row>
    <row r="28" spans="1:13" ht="12.75">
      <c r="A28" s="20" t="s">
        <v>416</v>
      </c>
      <c r="B28" s="20" t="s">
        <v>419</v>
      </c>
      <c r="C28" s="20" t="s">
        <v>418</v>
      </c>
      <c r="D28" s="20" t="str">
        <f>"0,5558"</f>
        <v>0,5558</v>
      </c>
      <c r="E28" s="20" t="s">
        <v>402</v>
      </c>
      <c r="F28" s="20" t="s">
        <v>53</v>
      </c>
      <c r="G28" s="22" t="s">
        <v>158</v>
      </c>
      <c r="H28" s="21" t="s">
        <v>142</v>
      </c>
      <c r="I28" s="21"/>
      <c r="J28" s="21"/>
      <c r="K28" s="20" t="str">
        <f>"185,0"</f>
        <v>185,0</v>
      </c>
      <c r="L28" s="22" t="str">
        <f>"102,8230"</f>
        <v>102,8230</v>
      </c>
      <c r="M28" s="20" t="s">
        <v>159</v>
      </c>
    </row>
    <row r="29" spans="1:13" ht="12.75">
      <c r="A29" s="20" t="s">
        <v>421</v>
      </c>
      <c r="B29" s="20" t="s">
        <v>422</v>
      </c>
      <c r="C29" s="20" t="s">
        <v>423</v>
      </c>
      <c r="D29" s="20" t="str">
        <f>"0,5613"</f>
        <v>0,5613</v>
      </c>
      <c r="E29" s="20" t="s">
        <v>424</v>
      </c>
      <c r="F29" s="20" t="s">
        <v>53</v>
      </c>
      <c r="G29" s="22" t="s">
        <v>110</v>
      </c>
      <c r="H29" s="22" t="s">
        <v>93</v>
      </c>
      <c r="I29" s="21" t="s">
        <v>94</v>
      </c>
      <c r="J29" s="21"/>
      <c r="K29" s="20" t="str">
        <f>"165,0"</f>
        <v>165,0</v>
      </c>
      <c r="L29" s="22" t="str">
        <f>"92,6145"</f>
        <v>92,6145</v>
      </c>
      <c r="M29" s="20" t="s">
        <v>425</v>
      </c>
    </row>
    <row r="30" spans="1:13" ht="12.75">
      <c r="A30" s="20" t="s">
        <v>427</v>
      </c>
      <c r="B30" s="20" t="s">
        <v>428</v>
      </c>
      <c r="C30" s="20" t="s">
        <v>429</v>
      </c>
      <c r="D30" s="20" t="str">
        <f>"0,5565"</f>
        <v>0,5565</v>
      </c>
      <c r="E30" s="20" t="s">
        <v>430</v>
      </c>
      <c r="F30" s="20" t="s">
        <v>53</v>
      </c>
      <c r="G30" s="22" t="s">
        <v>128</v>
      </c>
      <c r="H30" s="22" t="s">
        <v>136</v>
      </c>
      <c r="I30" s="21" t="s">
        <v>120</v>
      </c>
      <c r="J30" s="21"/>
      <c r="K30" s="20" t="str">
        <f>"150,0"</f>
        <v>150,0</v>
      </c>
      <c r="L30" s="22" t="str">
        <f>"83,4750"</f>
        <v>83,4750</v>
      </c>
      <c r="M30" s="20" t="s">
        <v>159</v>
      </c>
    </row>
    <row r="31" spans="1:13" ht="12.75">
      <c r="A31" s="17" t="s">
        <v>432</v>
      </c>
      <c r="B31" s="17" t="s">
        <v>433</v>
      </c>
      <c r="C31" s="17" t="s">
        <v>434</v>
      </c>
      <c r="D31" s="17" t="str">
        <f>"0,5586"</f>
        <v>0,5586</v>
      </c>
      <c r="E31" s="17" t="s">
        <v>435</v>
      </c>
      <c r="F31" s="17" t="s">
        <v>325</v>
      </c>
      <c r="G31" s="18" t="s">
        <v>128</v>
      </c>
      <c r="H31" s="19" t="s">
        <v>436</v>
      </c>
      <c r="I31" s="19" t="s">
        <v>436</v>
      </c>
      <c r="J31" s="19"/>
      <c r="K31" s="17" t="str">
        <f>"140,0"</f>
        <v>140,0</v>
      </c>
      <c r="L31" s="18" t="str">
        <f>"78,2040"</f>
        <v>78,2040</v>
      </c>
      <c r="M31" s="17" t="s">
        <v>437</v>
      </c>
    </row>
    <row r="33" spans="1:12" ht="15">
      <c r="A33" s="47" t="s">
        <v>202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 ht="12.75">
      <c r="A34" s="14" t="s">
        <v>439</v>
      </c>
      <c r="B34" s="14" t="s">
        <v>440</v>
      </c>
      <c r="C34" s="14" t="s">
        <v>441</v>
      </c>
      <c r="D34" s="14" t="str">
        <f>"0,5240"</f>
        <v>0,5240</v>
      </c>
      <c r="E34" s="14" t="s">
        <v>442</v>
      </c>
      <c r="F34" s="14" t="s">
        <v>170</v>
      </c>
      <c r="G34" s="15" t="s">
        <v>182</v>
      </c>
      <c r="H34" s="15" t="s">
        <v>443</v>
      </c>
      <c r="I34" s="16"/>
      <c r="J34" s="16"/>
      <c r="K34" s="14" t="str">
        <f>"212,5"</f>
        <v>212,5</v>
      </c>
      <c r="L34" s="15" t="str">
        <f>"111,3500"</f>
        <v>111,3500</v>
      </c>
      <c r="M34" s="14" t="s">
        <v>444</v>
      </c>
    </row>
    <row r="35" spans="1:13" ht="12.75">
      <c r="A35" s="20" t="s">
        <v>695</v>
      </c>
      <c r="B35" s="20" t="s">
        <v>306</v>
      </c>
      <c r="C35" s="20" t="s">
        <v>307</v>
      </c>
      <c r="D35" s="20" t="str">
        <f>"0,5230"</f>
        <v>0,5230</v>
      </c>
      <c r="E35" s="20" t="s">
        <v>52</v>
      </c>
      <c r="F35" s="20" t="s">
        <v>53</v>
      </c>
      <c r="G35" s="22" t="s">
        <v>158</v>
      </c>
      <c r="H35" s="21" t="s">
        <v>97</v>
      </c>
      <c r="I35" s="22" t="s">
        <v>97</v>
      </c>
      <c r="J35" s="21"/>
      <c r="K35" s="20" t="str">
        <f>"195,0"</f>
        <v>195,0</v>
      </c>
      <c r="L35" s="22" t="str">
        <f>"101,9850"</f>
        <v>101,9850</v>
      </c>
      <c r="M35" s="20" t="s">
        <v>308</v>
      </c>
    </row>
    <row r="36" spans="1:13" ht="12.75">
      <c r="A36" s="17" t="s">
        <v>447</v>
      </c>
      <c r="B36" s="17" t="s">
        <v>448</v>
      </c>
      <c r="C36" s="17" t="s">
        <v>449</v>
      </c>
      <c r="D36" s="17" t="str">
        <f>"0,5288"</f>
        <v>0,5288</v>
      </c>
      <c r="E36" s="17" t="s">
        <v>64</v>
      </c>
      <c r="F36" s="17" t="s">
        <v>65</v>
      </c>
      <c r="G36" s="18" t="s">
        <v>110</v>
      </c>
      <c r="H36" s="18" t="s">
        <v>199</v>
      </c>
      <c r="I36" s="19" t="s">
        <v>111</v>
      </c>
      <c r="J36" s="19"/>
      <c r="K36" s="17" t="str">
        <f>"167,5"</f>
        <v>167,5</v>
      </c>
      <c r="L36" s="18" t="str">
        <f>"92,8256"</f>
        <v>92,8256</v>
      </c>
      <c r="M36" s="17" t="s">
        <v>69</v>
      </c>
    </row>
    <row r="38" spans="1:12" ht="15">
      <c r="A38" s="47" t="s">
        <v>208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3" ht="12.75">
      <c r="A39" s="11" t="s">
        <v>210</v>
      </c>
      <c r="B39" s="11" t="s">
        <v>211</v>
      </c>
      <c r="C39" s="11" t="s">
        <v>212</v>
      </c>
      <c r="D39" s="11" t="str">
        <f>"0,5191"</f>
        <v>0,5191</v>
      </c>
      <c r="E39" s="11" t="s">
        <v>64</v>
      </c>
      <c r="F39" s="11" t="s">
        <v>65</v>
      </c>
      <c r="G39" s="12" t="s">
        <v>111</v>
      </c>
      <c r="H39" s="12" t="s">
        <v>158</v>
      </c>
      <c r="I39" s="12" t="s">
        <v>97</v>
      </c>
      <c r="J39" s="13"/>
      <c r="K39" s="11" t="str">
        <f>"195,0"</f>
        <v>195,0</v>
      </c>
      <c r="L39" s="12" t="str">
        <f>"101,2206"</f>
        <v>101,2206</v>
      </c>
      <c r="M39" s="11" t="s">
        <v>69</v>
      </c>
    </row>
    <row r="41" ht="15">
      <c r="E41" s="9" t="s">
        <v>14</v>
      </c>
    </row>
    <row r="42" ht="15">
      <c r="E42" s="9" t="s">
        <v>15</v>
      </c>
    </row>
    <row r="43" ht="15">
      <c r="E43" s="9" t="s">
        <v>16</v>
      </c>
    </row>
    <row r="44" ht="15">
      <c r="E44" s="9" t="s">
        <v>17</v>
      </c>
    </row>
    <row r="45" ht="15">
      <c r="E45" s="9" t="s">
        <v>17</v>
      </c>
    </row>
    <row r="46" ht="15">
      <c r="E46" s="9" t="s">
        <v>18</v>
      </c>
    </row>
    <row r="47" ht="15">
      <c r="E47" s="9"/>
    </row>
    <row r="49" spans="1:5" s="3" customFormat="1" ht="18">
      <c r="A49" s="10" t="s">
        <v>19</v>
      </c>
      <c r="B49" s="10"/>
      <c r="C49" s="4"/>
      <c r="D49" s="4"/>
      <c r="E49" s="4"/>
    </row>
    <row r="50" spans="1:5" s="3" customFormat="1" ht="15">
      <c r="A50" s="23" t="s">
        <v>216</v>
      </c>
      <c r="B50" s="23"/>
      <c r="C50" s="4"/>
      <c r="D50" s="4"/>
      <c r="E50" s="4"/>
    </row>
    <row r="51" spans="1:5" s="3" customFormat="1" ht="14.25">
      <c r="A51" s="25"/>
      <c r="B51" s="26" t="s">
        <v>278</v>
      </c>
      <c r="C51" s="4"/>
      <c r="D51" s="4"/>
      <c r="E51" s="4"/>
    </row>
    <row r="52" spans="1:5" s="3" customFormat="1" ht="15">
      <c r="A52" s="27" t="s">
        <v>218</v>
      </c>
      <c r="B52" s="27" t="s">
        <v>219</v>
      </c>
      <c r="C52" s="27" t="s">
        <v>220</v>
      </c>
      <c r="D52" s="27" t="s">
        <v>221</v>
      </c>
      <c r="E52" s="27" t="s">
        <v>222</v>
      </c>
    </row>
    <row r="53" spans="1:5" s="3" customFormat="1" ht="12.75">
      <c r="A53" s="24" t="s">
        <v>355</v>
      </c>
      <c r="B53" s="4" t="s">
        <v>279</v>
      </c>
      <c r="C53" s="4" t="s">
        <v>226</v>
      </c>
      <c r="D53" s="4" t="s">
        <v>360</v>
      </c>
      <c r="E53" s="28" t="s">
        <v>451</v>
      </c>
    </row>
    <row r="56" spans="1:5" s="3" customFormat="1" ht="15">
      <c r="A56" s="23" t="s">
        <v>229</v>
      </c>
      <c r="B56" s="23"/>
      <c r="C56" s="4"/>
      <c r="D56" s="4"/>
      <c r="E56" s="4"/>
    </row>
    <row r="57" spans="1:5" s="3" customFormat="1" ht="14.25">
      <c r="A57" s="25"/>
      <c r="B57" s="26" t="s">
        <v>230</v>
      </c>
      <c r="C57" s="4"/>
      <c r="D57" s="4"/>
      <c r="E57" s="4"/>
    </row>
    <row r="58" spans="1:5" s="3" customFormat="1" ht="15">
      <c r="A58" s="27" t="s">
        <v>218</v>
      </c>
      <c r="B58" s="27" t="s">
        <v>219</v>
      </c>
      <c r="C58" s="27" t="s">
        <v>220</v>
      </c>
      <c r="D58" s="27" t="s">
        <v>221</v>
      </c>
      <c r="E58" s="27" t="s">
        <v>222</v>
      </c>
    </row>
    <row r="59" spans="1:5" s="3" customFormat="1" ht="12.75">
      <c r="A59" s="24" t="s">
        <v>415</v>
      </c>
      <c r="B59" s="4" t="s">
        <v>452</v>
      </c>
      <c r="C59" s="4" t="s">
        <v>242</v>
      </c>
      <c r="D59" s="4" t="s">
        <v>158</v>
      </c>
      <c r="E59" s="28" t="s">
        <v>453</v>
      </c>
    </row>
    <row r="61" spans="1:5" s="3" customFormat="1" ht="14.25">
      <c r="A61" s="25"/>
      <c r="B61" s="26" t="s">
        <v>245</v>
      </c>
      <c r="C61" s="4"/>
      <c r="D61" s="4"/>
      <c r="E61" s="4"/>
    </row>
    <row r="62" spans="1:5" s="3" customFormat="1" ht="15">
      <c r="A62" s="27" t="s">
        <v>218</v>
      </c>
      <c r="B62" s="27" t="s">
        <v>219</v>
      </c>
      <c r="C62" s="27" t="s">
        <v>220</v>
      </c>
      <c r="D62" s="27" t="s">
        <v>221</v>
      </c>
      <c r="E62" s="27" t="s">
        <v>222</v>
      </c>
    </row>
    <row r="63" spans="1:5" s="3" customFormat="1" ht="12.75">
      <c r="A63" s="24" t="s">
        <v>370</v>
      </c>
      <c r="B63" s="4" t="s">
        <v>246</v>
      </c>
      <c r="C63" s="4" t="s">
        <v>234</v>
      </c>
      <c r="D63" s="4" t="s">
        <v>374</v>
      </c>
      <c r="E63" s="28" t="s">
        <v>454</v>
      </c>
    </row>
    <row r="64" spans="1:5" s="3" customFormat="1" ht="12.75">
      <c r="A64" s="24" t="s">
        <v>366</v>
      </c>
      <c r="B64" s="4" t="s">
        <v>246</v>
      </c>
      <c r="C64" s="4" t="s">
        <v>226</v>
      </c>
      <c r="D64" s="4" t="s">
        <v>129</v>
      </c>
      <c r="E64" s="28" t="s">
        <v>455</v>
      </c>
    </row>
    <row r="66" spans="1:5" s="3" customFormat="1" ht="14.25">
      <c r="A66" s="25"/>
      <c r="B66" s="26" t="s">
        <v>217</v>
      </c>
      <c r="C66" s="4"/>
      <c r="D66" s="4"/>
      <c r="E66" s="4"/>
    </row>
    <row r="67" spans="1:5" s="3" customFormat="1" ht="15">
      <c r="A67" s="27" t="s">
        <v>218</v>
      </c>
      <c r="B67" s="27" t="s">
        <v>219</v>
      </c>
      <c r="C67" s="27" t="s">
        <v>220</v>
      </c>
      <c r="D67" s="27" t="s">
        <v>221</v>
      </c>
      <c r="E67" s="27" t="s">
        <v>222</v>
      </c>
    </row>
    <row r="68" spans="1:5" s="3" customFormat="1" ht="12.75">
      <c r="A68" s="24" t="s">
        <v>438</v>
      </c>
      <c r="B68" s="4" t="s">
        <v>217</v>
      </c>
      <c r="C68" s="4" t="s">
        <v>260</v>
      </c>
      <c r="D68" s="4" t="s">
        <v>443</v>
      </c>
      <c r="E68" s="28" t="s">
        <v>456</v>
      </c>
    </row>
    <row r="69" spans="1:5" s="3" customFormat="1" ht="12.75">
      <c r="A69" s="24" t="s">
        <v>398</v>
      </c>
      <c r="B69" s="4" t="s">
        <v>217</v>
      </c>
      <c r="C69" s="4" t="s">
        <v>223</v>
      </c>
      <c r="D69" s="4" t="s">
        <v>96</v>
      </c>
      <c r="E69" s="28" t="s">
        <v>457</v>
      </c>
    </row>
    <row r="70" spans="1:5" s="3" customFormat="1" ht="12.75">
      <c r="A70" s="24" t="s">
        <v>415</v>
      </c>
      <c r="B70" s="4" t="s">
        <v>217</v>
      </c>
      <c r="C70" s="4" t="s">
        <v>242</v>
      </c>
      <c r="D70" s="4" t="s">
        <v>158</v>
      </c>
      <c r="E70" s="28" t="s">
        <v>458</v>
      </c>
    </row>
    <row r="71" spans="1:5" s="3" customFormat="1" ht="12.75">
      <c r="A71" s="24" t="s">
        <v>304</v>
      </c>
      <c r="B71" s="4" t="s">
        <v>217</v>
      </c>
      <c r="C71" s="4" t="s">
        <v>260</v>
      </c>
      <c r="D71" s="4" t="s">
        <v>97</v>
      </c>
      <c r="E71" s="28" t="s">
        <v>694</v>
      </c>
    </row>
    <row r="72" spans="1:5" s="3" customFormat="1" ht="12.75">
      <c r="A72" s="24" t="s">
        <v>209</v>
      </c>
      <c r="B72" s="4" t="s">
        <v>217</v>
      </c>
      <c r="C72" s="4" t="s">
        <v>251</v>
      </c>
      <c r="D72" s="4" t="s">
        <v>97</v>
      </c>
      <c r="E72" s="28" t="s">
        <v>693</v>
      </c>
    </row>
    <row r="73" spans="1:5" s="3" customFormat="1" ht="12.75">
      <c r="A73" s="24" t="s">
        <v>370</v>
      </c>
      <c r="B73" s="4" t="s">
        <v>217</v>
      </c>
      <c r="C73" s="4" t="s">
        <v>234</v>
      </c>
      <c r="D73" s="4" t="s">
        <v>374</v>
      </c>
      <c r="E73" s="28" t="s">
        <v>459</v>
      </c>
    </row>
    <row r="74" spans="1:5" s="3" customFormat="1" ht="12.75">
      <c r="A74" s="24" t="s">
        <v>420</v>
      </c>
      <c r="B74" s="4" t="s">
        <v>217</v>
      </c>
      <c r="C74" s="4" t="s">
        <v>242</v>
      </c>
      <c r="D74" s="4" t="s">
        <v>93</v>
      </c>
      <c r="E74" s="28" t="s">
        <v>460</v>
      </c>
    </row>
    <row r="75" spans="1:5" s="3" customFormat="1" ht="12.75">
      <c r="A75" s="24" t="s">
        <v>376</v>
      </c>
      <c r="B75" s="4" t="s">
        <v>217</v>
      </c>
      <c r="C75" s="4" t="s">
        <v>234</v>
      </c>
      <c r="D75" s="4" t="s">
        <v>76</v>
      </c>
      <c r="E75" s="28" t="s">
        <v>461</v>
      </c>
    </row>
    <row r="76" spans="1:5" s="3" customFormat="1" ht="12.75">
      <c r="A76" s="24" t="s">
        <v>426</v>
      </c>
      <c r="B76" s="4" t="s">
        <v>217</v>
      </c>
      <c r="C76" s="4" t="s">
        <v>242</v>
      </c>
      <c r="D76" s="4" t="s">
        <v>136</v>
      </c>
      <c r="E76" s="28" t="s">
        <v>462</v>
      </c>
    </row>
    <row r="77" spans="1:5" s="3" customFormat="1" ht="12.75">
      <c r="A77" s="24" t="s">
        <v>362</v>
      </c>
      <c r="B77" s="4" t="s">
        <v>217</v>
      </c>
      <c r="C77" s="4" t="s">
        <v>237</v>
      </c>
      <c r="D77" s="4" t="s">
        <v>45</v>
      </c>
      <c r="E77" s="28" t="s">
        <v>463</v>
      </c>
    </row>
    <row r="78" spans="1:5" s="3" customFormat="1" ht="12.75">
      <c r="A78" s="24" t="s">
        <v>405</v>
      </c>
      <c r="B78" s="4" t="s">
        <v>217</v>
      </c>
      <c r="C78" s="4" t="s">
        <v>223</v>
      </c>
      <c r="D78" s="4" t="s">
        <v>76</v>
      </c>
      <c r="E78" s="28" t="s">
        <v>464</v>
      </c>
    </row>
    <row r="79" spans="1:5" s="3" customFormat="1" ht="12.75">
      <c r="A79" s="24" t="s">
        <v>383</v>
      </c>
      <c r="B79" s="4" t="s">
        <v>217</v>
      </c>
      <c r="C79" s="4" t="s">
        <v>234</v>
      </c>
      <c r="D79" s="4" t="s">
        <v>57</v>
      </c>
      <c r="E79" s="28" t="s">
        <v>465</v>
      </c>
    </row>
    <row r="80" spans="1:5" s="3" customFormat="1" ht="12.75">
      <c r="A80" s="24" t="s">
        <v>431</v>
      </c>
      <c r="B80" s="4" t="s">
        <v>217</v>
      </c>
      <c r="C80" s="4" t="s">
        <v>242</v>
      </c>
      <c r="D80" s="4" t="s">
        <v>128</v>
      </c>
      <c r="E80" s="28" t="s">
        <v>466</v>
      </c>
    </row>
    <row r="81" spans="1:5" s="3" customFormat="1" ht="12.75">
      <c r="A81" s="24" t="s">
        <v>388</v>
      </c>
      <c r="B81" s="4" t="s">
        <v>217</v>
      </c>
      <c r="C81" s="4" t="s">
        <v>234</v>
      </c>
      <c r="D81" s="4" t="s">
        <v>54</v>
      </c>
      <c r="E81" s="28" t="s">
        <v>467</v>
      </c>
    </row>
    <row r="82" spans="1:5" s="3" customFormat="1" ht="12.75">
      <c r="A82" s="24" t="s">
        <v>394</v>
      </c>
      <c r="B82" s="4" t="s">
        <v>217</v>
      </c>
      <c r="C82" s="4" t="s">
        <v>234</v>
      </c>
      <c r="D82" s="4" t="s">
        <v>44</v>
      </c>
      <c r="E82" s="28" t="s">
        <v>468</v>
      </c>
    </row>
    <row r="84" spans="1:5" s="3" customFormat="1" ht="14.25">
      <c r="A84" s="25"/>
      <c r="B84" s="26" t="s">
        <v>278</v>
      </c>
      <c r="C84" s="4"/>
      <c r="D84" s="4"/>
      <c r="E84" s="4"/>
    </row>
    <row r="85" spans="1:5" s="3" customFormat="1" ht="15">
      <c r="A85" s="27" t="s">
        <v>218</v>
      </c>
      <c r="B85" s="27" t="s">
        <v>219</v>
      </c>
      <c r="C85" s="27" t="s">
        <v>220</v>
      </c>
      <c r="D85" s="27" t="s">
        <v>221</v>
      </c>
      <c r="E85" s="27" t="s">
        <v>222</v>
      </c>
    </row>
    <row r="86" spans="1:5" s="3" customFormat="1" ht="12.75">
      <c r="A86" s="24" t="s">
        <v>446</v>
      </c>
      <c r="B86" s="4" t="s">
        <v>469</v>
      </c>
      <c r="C86" s="4" t="s">
        <v>260</v>
      </c>
      <c r="D86" s="4" t="s">
        <v>199</v>
      </c>
      <c r="E86" s="28" t="s">
        <v>470</v>
      </c>
    </row>
    <row r="87" spans="1:5" s="3" customFormat="1" ht="12.75">
      <c r="A87" s="24" t="s">
        <v>411</v>
      </c>
      <c r="B87" s="4" t="s">
        <v>279</v>
      </c>
      <c r="C87" s="4" t="s">
        <v>223</v>
      </c>
      <c r="D87" s="4" t="s">
        <v>76</v>
      </c>
      <c r="E87" s="28" t="s">
        <v>471</v>
      </c>
    </row>
  </sheetData>
  <sheetProtection/>
  <mergeCells count="18">
    <mergeCell ref="E3:E4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A26:L26"/>
    <mergeCell ref="A33:L33"/>
    <mergeCell ref="A38:L38"/>
    <mergeCell ref="A6:L6"/>
    <mergeCell ref="A10:L10"/>
    <mergeCell ref="A13:L13"/>
    <mergeCell ref="A21:L21"/>
  </mergeCells>
  <printOptions/>
  <pageMargins left="0.1968503937007874" right="0.4724409448818898" top="0.4330708661417323" bottom="0.4724409448818898" header="0.5118110236220472" footer="0.5118110236220472"/>
  <pageSetup fitToHeight="100" fitToWidth="1" horizontalDpi="600" verticalDpi="600" orientation="landscape" scale="70" r:id="rId2"/>
  <headerFooter alignWithMargins="0">
    <oddFooter>&amp;L&amp;G&amp;R&amp;D&amp;T&amp;P</oddFoot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29.125" style="4" bestFit="1" customWidth="1"/>
    <col min="7" max="7" width="4.625" style="3" bestFit="1" customWidth="1"/>
    <col min="8" max="8" width="4.625" style="49" bestFit="1" customWidth="1"/>
    <col min="9" max="9" width="7.75390625" style="4" bestFit="1" customWidth="1"/>
    <col min="10" max="10" width="9.625" style="3" bestFit="1" customWidth="1"/>
    <col min="11" max="11" width="11.625" style="4" bestFit="1" customWidth="1"/>
    <col min="12" max="16384" width="9.125" style="3" customWidth="1"/>
  </cols>
  <sheetData>
    <row r="1" spans="1:11" s="2" customFormat="1" ht="28.5" customHeight="1">
      <c r="A1" s="44" t="s">
        <v>710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709</v>
      </c>
      <c r="E3" s="43" t="s">
        <v>7</v>
      </c>
      <c r="F3" s="43" t="s">
        <v>12</v>
      </c>
      <c r="G3" s="43" t="s">
        <v>708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30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1" t="s">
        <v>704</v>
      </c>
      <c r="B6" s="11" t="s">
        <v>703</v>
      </c>
      <c r="C6" s="11" t="s">
        <v>702</v>
      </c>
      <c r="D6" s="11" t="str">
        <f>"0,9006"</f>
        <v>0,9006</v>
      </c>
      <c r="E6" s="11" t="s">
        <v>656</v>
      </c>
      <c r="F6" s="11" t="s">
        <v>53</v>
      </c>
      <c r="G6" s="12" t="s">
        <v>75</v>
      </c>
      <c r="H6" s="50" t="s">
        <v>701</v>
      </c>
      <c r="I6" s="11" t="str">
        <f>"2100,0"</f>
        <v>2100,0</v>
      </c>
      <c r="J6" s="12" t="str">
        <f>"1891,2600"</f>
        <v>1891,2600</v>
      </c>
      <c r="K6" s="11" t="s">
        <v>657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216</v>
      </c>
      <c r="B17" s="23"/>
      <c r="C17" s="4"/>
      <c r="D17" s="4"/>
      <c r="E17" s="4"/>
    </row>
    <row r="18" spans="1:5" s="3" customFormat="1" ht="14.25">
      <c r="A18" s="25"/>
      <c r="B18" s="26" t="s">
        <v>217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700</v>
      </c>
    </row>
    <row r="20" spans="1:5" s="3" customFormat="1" ht="12.75">
      <c r="A20" s="24" t="s">
        <v>699</v>
      </c>
      <c r="B20" s="4" t="s">
        <v>217</v>
      </c>
      <c r="C20" s="4" t="s">
        <v>226</v>
      </c>
      <c r="D20" s="4" t="s">
        <v>698</v>
      </c>
      <c r="E20" s="28" t="s">
        <v>697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29.875" style="4" bestFit="1" customWidth="1"/>
    <col min="7" max="7" width="5.625" style="3" bestFit="1" customWidth="1"/>
    <col min="8" max="8" width="4.625" style="49" bestFit="1" customWidth="1"/>
    <col min="9" max="9" width="7.75390625" style="4" bestFit="1" customWidth="1"/>
    <col min="10" max="10" width="9.625" style="3" bestFit="1" customWidth="1"/>
    <col min="11" max="11" width="8.25390625" style="4" bestFit="1" customWidth="1"/>
    <col min="12" max="16384" width="9.125" style="3" customWidth="1"/>
  </cols>
  <sheetData>
    <row r="1" spans="1:11" s="2" customFormat="1" ht="28.5" customHeight="1">
      <c r="A1" s="44" t="s">
        <v>719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709</v>
      </c>
      <c r="E3" s="43" t="s">
        <v>7</v>
      </c>
      <c r="F3" s="43" t="s">
        <v>12</v>
      </c>
      <c r="G3" s="43" t="s">
        <v>718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160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1" t="s">
        <v>717</v>
      </c>
      <c r="B6" s="11" t="s">
        <v>716</v>
      </c>
      <c r="C6" s="11" t="s">
        <v>715</v>
      </c>
      <c r="D6" s="11" t="str">
        <f>"0,6638"</f>
        <v>0,6638</v>
      </c>
      <c r="E6" s="11" t="s">
        <v>435</v>
      </c>
      <c r="F6" s="11" t="s">
        <v>409</v>
      </c>
      <c r="G6" s="12" t="s">
        <v>43</v>
      </c>
      <c r="H6" s="50" t="s">
        <v>714</v>
      </c>
      <c r="I6" s="11" t="str">
        <f>"3700,0"</f>
        <v>3700,0</v>
      </c>
      <c r="J6" s="12" t="str">
        <f>"2456,0600"</f>
        <v>2456,0600</v>
      </c>
      <c r="K6" s="11" t="s">
        <v>159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229</v>
      </c>
      <c r="B17" s="23"/>
      <c r="C17" s="4"/>
      <c r="D17" s="4"/>
      <c r="E17" s="4"/>
    </row>
    <row r="18" spans="1:5" s="3" customFormat="1" ht="14.25">
      <c r="A18" s="25"/>
      <c r="B18" s="26" t="s">
        <v>217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700</v>
      </c>
    </row>
    <row r="20" spans="1:5" s="3" customFormat="1" ht="12.75">
      <c r="A20" s="24" t="s">
        <v>713</v>
      </c>
      <c r="B20" s="4" t="s">
        <v>217</v>
      </c>
      <c r="C20" s="4" t="s">
        <v>242</v>
      </c>
      <c r="D20" s="4" t="s">
        <v>712</v>
      </c>
      <c r="E20" s="28" t="s">
        <v>711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C12" sqref="C12"/>
    </sheetView>
  </sheetViews>
  <sheetFormatPr defaultColWidth="9.125" defaultRowHeight="12.75"/>
  <cols>
    <col min="1" max="1" width="24.75390625" style="4" bestFit="1" customWidth="1"/>
    <col min="2" max="2" width="28.37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8.375" style="4" bestFit="1" customWidth="1"/>
    <col min="7" max="14" width="4.625" style="3" bestFit="1" customWidth="1"/>
    <col min="15" max="15" width="7.75390625" style="4" bestFit="1" customWidth="1"/>
    <col min="16" max="16" width="7.625" style="3" bestFit="1" customWidth="1"/>
    <col min="17" max="17" width="11.25390625" style="4" bestFit="1" customWidth="1"/>
    <col min="18" max="16384" width="9.125" style="3" customWidth="1"/>
  </cols>
  <sheetData>
    <row r="1" spans="1:17" s="2" customFormat="1" ht="28.5" customHeight="1">
      <c r="A1" s="44" t="s">
        <v>725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724</v>
      </c>
      <c r="H3" s="43"/>
      <c r="I3" s="43"/>
      <c r="J3" s="43"/>
      <c r="K3" s="43" t="s">
        <v>723</v>
      </c>
      <c r="L3" s="43"/>
      <c r="M3" s="43"/>
      <c r="N3" s="43"/>
      <c r="O3" s="43" t="s">
        <v>4</v>
      </c>
      <c r="P3" s="43" t="s">
        <v>6</v>
      </c>
      <c r="Q3" s="31" t="s">
        <v>5</v>
      </c>
    </row>
    <row r="4" spans="1:17" s="1" customFormat="1" ht="21" customHeight="1" thickBot="1">
      <c r="A4" s="40"/>
      <c r="B4" s="42"/>
      <c r="C4" s="42"/>
      <c r="D4" s="42"/>
      <c r="E4" s="42"/>
      <c r="F4" s="42"/>
      <c r="G4" s="8">
        <v>1</v>
      </c>
      <c r="H4" s="8">
        <v>2</v>
      </c>
      <c r="I4" s="8">
        <v>3</v>
      </c>
      <c r="J4" s="8" t="s">
        <v>8</v>
      </c>
      <c r="K4" s="8">
        <v>1</v>
      </c>
      <c r="L4" s="8">
        <v>2</v>
      </c>
      <c r="M4" s="8">
        <v>3</v>
      </c>
      <c r="N4" s="8" t="s">
        <v>8</v>
      </c>
      <c r="O4" s="42"/>
      <c r="P4" s="42"/>
      <c r="Q4" s="32"/>
    </row>
    <row r="5" spans="1:16" ht="15">
      <c r="A5" s="45" t="s">
        <v>313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2.75">
      <c r="A6" s="11" t="s">
        <v>722</v>
      </c>
      <c r="B6" s="11" t="s">
        <v>315</v>
      </c>
      <c r="C6" s="11" t="s">
        <v>316</v>
      </c>
      <c r="D6" s="11" t="str">
        <f>"0,8242"</f>
        <v>0,8242</v>
      </c>
      <c r="E6" s="11" t="s">
        <v>317</v>
      </c>
      <c r="F6" s="11" t="s">
        <v>318</v>
      </c>
      <c r="G6" s="12" t="s">
        <v>56</v>
      </c>
      <c r="H6" s="12" t="s">
        <v>40</v>
      </c>
      <c r="I6" s="13" t="s">
        <v>41</v>
      </c>
      <c r="J6" s="13"/>
      <c r="K6" s="12" t="s">
        <v>103</v>
      </c>
      <c r="L6" s="12" t="s">
        <v>56</v>
      </c>
      <c r="M6" s="12" t="s">
        <v>40</v>
      </c>
      <c r="N6" s="13"/>
      <c r="O6" s="11" t="str">
        <f>"110,0"</f>
        <v>110,0</v>
      </c>
      <c r="P6" s="12" t="str">
        <f>"93,3819"</f>
        <v>93,3819</v>
      </c>
      <c r="Q6" s="11" t="s">
        <v>319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229</v>
      </c>
      <c r="B17" s="23"/>
      <c r="C17" s="4"/>
      <c r="D17" s="4"/>
      <c r="E17" s="4"/>
    </row>
    <row r="18" spans="1:5" s="3" customFormat="1" ht="14.25">
      <c r="A18" s="25"/>
      <c r="B18" s="26" t="s">
        <v>245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s="3" customFormat="1" ht="12.75">
      <c r="A20" s="24" t="s">
        <v>721</v>
      </c>
      <c r="B20" s="4" t="s">
        <v>246</v>
      </c>
      <c r="C20" s="4" t="s">
        <v>611</v>
      </c>
      <c r="D20" s="4" t="s">
        <v>45</v>
      </c>
      <c r="E20" s="28" t="s">
        <v>720</v>
      </c>
    </row>
  </sheetData>
  <sheetProtection/>
  <mergeCells count="13">
    <mergeCell ref="F3:F4"/>
    <mergeCell ref="G3:J3"/>
    <mergeCell ref="K3:N3"/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37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7.875" style="4" bestFit="1" customWidth="1"/>
    <col min="7" max="10" width="4.625" style="3" bestFit="1" customWidth="1"/>
    <col min="11" max="11" width="7.75390625" style="4" bestFit="1" customWidth="1"/>
    <col min="12" max="12" width="7.62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730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723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8">
        <v>1</v>
      </c>
      <c r="H4" s="8">
        <v>2</v>
      </c>
      <c r="I4" s="8">
        <v>3</v>
      </c>
      <c r="J4" s="8" t="s">
        <v>8</v>
      </c>
      <c r="K4" s="42"/>
      <c r="L4" s="42"/>
      <c r="M4" s="32"/>
    </row>
    <row r="5" spans="1:12" ht="15">
      <c r="A5" s="45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474</v>
      </c>
      <c r="B6" s="11" t="s">
        <v>475</v>
      </c>
      <c r="C6" s="11" t="s">
        <v>476</v>
      </c>
      <c r="D6" s="11" t="str">
        <f>"0,5897"</f>
        <v>0,5897</v>
      </c>
      <c r="E6" s="11" t="s">
        <v>477</v>
      </c>
      <c r="F6" s="11" t="s">
        <v>53</v>
      </c>
      <c r="G6" s="12" t="s">
        <v>40</v>
      </c>
      <c r="H6" s="12" t="s">
        <v>68</v>
      </c>
      <c r="I6" s="12" t="s">
        <v>360</v>
      </c>
      <c r="J6" s="13"/>
      <c r="K6" s="11" t="str">
        <f>"72,5"</f>
        <v>72,5</v>
      </c>
      <c r="L6" s="12" t="str">
        <f>"43,6083"</f>
        <v>43,6083</v>
      </c>
      <c r="M6" s="11" t="s">
        <v>159</v>
      </c>
    </row>
    <row r="8" spans="1:12" ht="15">
      <c r="A8" s="47" t="s">
        <v>193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1" t="s">
        <v>479</v>
      </c>
      <c r="B9" s="11" t="s">
        <v>480</v>
      </c>
      <c r="C9" s="11" t="s">
        <v>481</v>
      </c>
      <c r="D9" s="11" t="str">
        <f>"0,5417"</f>
        <v>0,5417</v>
      </c>
      <c r="E9" s="11" t="s">
        <v>482</v>
      </c>
      <c r="F9" s="11" t="s">
        <v>483</v>
      </c>
      <c r="G9" s="12" t="s">
        <v>75</v>
      </c>
      <c r="H9" s="12" t="s">
        <v>729</v>
      </c>
      <c r="I9" s="12" t="s">
        <v>727</v>
      </c>
      <c r="J9" s="13"/>
      <c r="K9" s="11" t="str">
        <f>"87,5"</f>
        <v>87,5</v>
      </c>
      <c r="L9" s="12" t="str">
        <f>"47,3988"</f>
        <v>47,3988</v>
      </c>
      <c r="M9" s="11" t="s">
        <v>159</v>
      </c>
    </row>
    <row r="11" ht="15">
      <c r="E11" s="9" t="s">
        <v>14</v>
      </c>
    </row>
    <row r="12" ht="15">
      <c r="E12" s="9" t="s">
        <v>15</v>
      </c>
    </row>
    <row r="13" ht="15">
      <c r="E13" s="9" t="s">
        <v>16</v>
      </c>
    </row>
    <row r="14" ht="15">
      <c r="E14" s="9" t="s">
        <v>17</v>
      </c>
    </row>
    <row r="15" ht="15">
      <c r="E15" s="9" t="s">
        <v>17</v>
      </c>
    </row>
    <row r="16" ht="15">
      <c r="E16" s="9" t="s">
        <v>18</v>
      </c>
    </row>
    <row r="17" spans="1:5" s="3" customFormat="1" ht="15">
      <c r="A17" s="4"/>
      <c r="B17" s="4"/>
      <c r="C17" s="4"/>
      <c r="D17" s="4"/>
      <c r="E17" s="9"/>
    </row>
    <row r="19" spans="1:5" s="3" customFormat="1" ht="18">
      <c r="A19" s="10" t="s">
        <v>19</v>
      </c>
      <c r="B19" s="10"/>
      <c r="C19" s="4"/>
      <c r="D19" s="4"/>
      <c r="E19" s="4"/>
    </row>
    <row r="20" spans="1:5" s="3" customFormat="1" ht="15">
      <c r="A20" s="23" t="s">
        <v>229</v>
      </c>
      <c r="B20" s="23"/>
      <c r="C20" s="4"/>
      <c r="D20" s="4"/>
      <c r="E20" s="4"/>
    </row>
    <row r="21" spans="1:5" s="3" customFormat="1" ht="14.25">
      <c r="A21" s="25"/>
      <c r="B21" s="26" t="s">
        <v>245</v>
      </c>
      <c r="C21" s="4"/>
      <c r="D21" s="4"/>
      <c r="E21" s="4"/>
    </row>
    <row r="22" spans="1:5" s="3" customFormat="1" ht="15">
      <c r="A22" s="27" t="s">
        <v>218</v>
      </c>
      <c r="B22" s="27" t="s">
        <v>219</v>
      </c>
      <c r="C22" s="27" t="s">
        <v>220</v>
      </c>
      <c r="D22" s="27" t="s">
        <v>221</v>
      </c>
      <c r="E22" s="27" t="s">
        <v>222</v>
      </c>
    </row>
    <row r="23" spans="1:5" s="3" customFormat="1" ht="12.75">
      <c r="A23" s="24" t="s">
        <v>473</v>
      </c>
      <c r="B23" s="4" t="s">
        <v>246</v>
      </c>
      <c r="C23" s="4" t="s">
        <v>223</v>
      </c>
      <c r="D23" s="4" t="s">
        <v>360</v>
      </c>
      <c r="E23" s="28" t="s">
        <v>728</v>
      </c>
    </row>
    <row r="25" spans="1:5" s="3" customFormat="1" ht="14.25">
      <c r="A25" s="25"/>
      <c r="B25" s="26" t="s">
        <v>217</v>
      </c>
      <c r="C25" s="4"/>
      <c r="D25" s="4"/>
      <c r="E25" s="4"/>
    </row>
    <row r="26" spans="1:5" s="3" customFormat="1" ht="15">
      <c r="A26" s="27" t="s">
        <v>218</v>
      </c>
      <c r="B26" s="27" t="s">
        <v>219</v>
      </c>
      <c r="C26" s="27" t="s">
        <v>220</v>
      </c>
      <c r="D26" s="27" t="s">
        <v>221</v>
      </c>
      <c r="E26" s="27" t="s">
        <v>222</v>
      </c>
    </row>
    <row r="27" spans="1:5" s="3" customFormat="1" ht="12.75">
      <c r="A27" s="24" t="s">
        <v>478</v>
      </c>
      <c r="B27" s="4" t="s">
        <v>217</v>
      </c>
      <c r="C27" s="4" t="s">
        <v>273</v>
      </c>
      <c r="D27" s="4" t="s">
        <v>727</v>
      </c>
      <c r="E27" s="28" t="s">
        <v>726</v>
      </c>
    </row>
  </sheetData>
  <sheetProtection/>
  <mergeCells count="13">
    <mergeCell ref="M3:M4"/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7.25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193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648</v>
      </c>
      <c r="B6" s="11" t="s">
        <v>651</v>
      </c>
      <c r="C6" s="11" t="s">
        <v>650</v>
      </c>
      <c r="D6" s="11" t="str">
        <f>"0,5455"</f>
        <v>0,5455</v>
      </c>
      <c r="E6" s="11" t="s">
        <v>540</v>
      </c>
      <c r="F6" s="11" t="s">
        <v>541</v>
      </c>
      <c r="G6" s="12" t="s">
        <v>57</v>
      </c>
      <c r="H6" s="12" t="s">
        <v>128</v>
      </c>
      <c r="I6" s="12" t="s">
        <v>374</v>
      </c>
      <c r="J6" s="13"/>
      <c r="K6" s="11" t="str">
        <f>"145,0"</f>
        <v>145,0</v>
      </c>
      <c r="L6" s="12" t="str">
        <f>"125,7650"</f>
        <v>125,7650</v>
      </c>
      <c r="M6" s="11" t="s">
        <v>159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229</v>
      </c>
      <c r="B17" s="23"/>
    </row>
    <row r="18" spans="1:2" ht="14.25">
      <c r="A18" s="25"/>
      <c r="B18" s="26" t="s">
        <v>278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647</v>
      </c>
      <c r="B20" s="4" t="s">
        <v>351</v>
      </c>
      <c r="C20" s="4" t="s">
        <v>273</v>
      </c>
      <c r="D20" s="4" t="s">
        <v>374</v>
      </c>
      <c r="E20" s="28" t="s">
        <v>679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8.375" style="4" bestFit="1" customWidth="1"/>
    <col min="7" max="10" width="4.625" style="3" bestFit="1" customWidth="1"/>
    <col min="11" max="11" width="7.75390625" style="4" bestFit="1" customWidth="1"/>
    <col min="12" max="12" width="7.625" style="3" bestFit="1" customWidth="1"/>
    <col min="13" max="13" width="13.875" style="4" bestFit="1" customWidth="1"/>
    <col min="14" max="16384" width="9.125" style="3" customWidth="1"/>
  </cols>
  <sheetData>
    <row r="1" spans="1:13" s="2" customFormat="1" ht="28.5" customHeight="1">
      <c r="A1" s="44" t="s">
        <v>782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723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8">
        <v>1</v>
      </c>
      <c r="H4" s="8">
        <v>2</v>
      </c>
      <c r="I4" s="8">
        <v>3</v>
      </c>
      <c r="J4" s="8" t="s">
        <v>8</v>
      </c>
      <c r="K4" s="42"/>
      <c r="L4" s="42"/>
      <c r="M4" s="32"/>
    </row>
    <row r="5" spans="1:12" ht="15">
      <c r="A5" s="45" t="s">
        <v>313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722</v>
      </c>
      <c r="B6" s="11" t="s">
        <v>315</v>
      </c>
      <c r="C6" s="11" t="s">
        <v>316</v>
      </c>
      <c r="D6" s="11" t="str">
        <f>"0,8242"</f>
        <v>0,8242</v>
      </c>
      <c r="E6" s="11" t="s">
        <v>317</v>
      </c>
      <c r="F6" s="11" t="s">
        <v>318</v>
      </c>
      <c r="G6" s="12" t="s">
        <v>103</v>
      </c>
      <c r="H6" s="12" t="s">
        <v>56</v>
      </c>
      <c r="I6" s="12" t="s">
        <v>40</v>
      </c>
      <c r="J6" s="13"/>
      <c r="K6" s="11" t="str">
        <f>"55,0"</f>
        <v>55,0</v>
      </c>
      <c r="L6" s="12" t="str">
        <f>"46,6909"</f>
        <v>46,6909</v>
      </c>
      <c r="M6" s="11" t="s">
        <v>319</v>
      </c>
    </row>
    <row r="8" spans="1:12" ht="15">
      <c r="A8" s="47" t="s">
        <v>70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12.75">
      <c r="A9" s="14" t="s">
        <v>781</v>
      </c>
      <c r="B9" s="14" t="s">
        <v>780</v>
      </c>
      <c r="C9" s="14" t="s">
        <v>779</v>
      </c>
      <c r="D9" s="14" t="str">
        <f>"0,7450"</f>
        <v>0,7450</v>
      </c>
      <c r="E9" s="14" t="s">
        <v>81</v>
      </c>
      <c r="F9" s="14" t="s">
        <v>318</v>
      </c>
      <c r="G9" s="16" t="s">
        <v>778</v>
      </c>
      <c r="H9" s="15" t="s">
        <v>778</v>
      </c>
      <c r="I9" s="15" t="s">
        <v>753</v>
      </c>
      <c r="J9" s="16"/>
      <c r="K9" s="14" t="str">
        <f>"47,5"</f>
        <v>47,5</v>
      </c>
      <c r="L9" s="15" t="str">
        <f>"38,2185"</f>
        <v>38,2185</v>
      </c>
      <c r="M9" s="14" t="s">
        <v>777</v>
      </c>
    </row>
    <row r="10" spans="1:13" ht="12.75">
      <c r="A10" s="20" t="s">
        <v>776</v>
      </c>
      <c r="B10" s="20" t="s">
        <v>775</v>
      </c>
      <c r="C10" s="20" t="s">
        <v>774</v>
      </c>
      <c r="D10" s="20" t="str">
        <f>"0,7307"</f>
        <v>0,7307</v>
      </c>
      <c r="E10" s="20" t="s">
        <v>81</v>
      </c>
      <c r="F10" s="20" t="s">
        <v>82</v>
      </c>
      <c r="G10" s="22" t="s">
        <v>753</v>
      </c>
      <c r="H10" s="22" t="s">
        <v>739</v>
      </c>
      <c r="I10" s="21" t="s">
        <v>42</v>
      </c>
      <c r="J10" s="21"/>
      <c r="K10" s="20" t="str">
        <f>"52,5"</f>
        <v>52,5</v>
      </c>
      <c r="L10" s="22" t="str">
        <f>"39,1290"</f>
        <v>39,1290</v>
      </c>
      <c r="M10" s="20" t="s">
        <v>86</v>
      </c>
    </row>
    <row r="11" spans="1:13" ht="12.75">
      <c r="A11" s="20" t="s">
        <v>773</v>
      </c>
      <c r="B11" s="20" t="s">
        <v>79</v>
      </c>
      <c r="C11" s="20" t="s">
        <v>80</v>
      </c>
      <c r="D11" s="20" t="str">
        <f>"0,7481"</f>
        <v>0,7481</v>
      </c>
      <c r="E11" s="20" t="s">
        <v>81</v>
      </c>
      <c r="F11" s="20" t="s">
        <v>82</v>
      </c>
      <c r="G11" s="22" t="s">
        <v>103</v>
      </c>
      <c r="H11" s="22" t="s">
        <v>743</v>
      </c>
      <c r="I11" s="21" t="s">
        <v>739</v>
      </c>
      <c r="J11" s="21"/>
      <c r="K11" s="20" t="str">
        <f>"45,0"</f>
        <v>45,0</v>
      </c>
      <c r="L11" s="22" t="str">
        <f>"34,3378"</f>
        <v>34,3378</v>
      </c>
      <c r="M11" s="20" t="s">
        <v>86</v>
      </c>
    </row>
    <row r="12" spans="1:13" ht="12.75">
      <c r="A12" s="20" t="s">
        <v>363</v>
      </c>
      <c r="B12" s="20" t="s">
        <v>364</v>
      </c>
      <c r="C12" s="20" t="s">
        <v>365</v>
      </c>
      <c r="D12" s="20" t="str">
        <f>"0,7398"</f>
        <v>0,7398</v>
      </c>
      <c r="E12" s="20" t="s">
        <v>52</v>
      </c>
      <c r="F12" s="20" t="s">
        <v>53</v>
      </c>
      <c r="G12" s="22" t="s">
        <v>753</v>
      </c>
      <c r="H12" s="22" t="s">
        <v>739</v>
      </c>
      <c r="I12" s="21" t="s">
        <v>42</v>
      </c>
      <c r="J12" s="21"/>
      <c r="K12" s="20" t="str">
        <f>"52,5"</f>
        <v>52,5</v>
      </c>
      <c r="L12" s="22" t="str">
        <f>"38,8395"</f>
        <v>38,8395</v>
      </c>
      <c r="M12" s="20" t="s">
        <v>159</v>
      </c>
    </row>
    <row r="13" spans="1:13" ht="12.75">
      <c r="A13" s="17" t="s">
        <v>772</v>
      </c>
      <c r="B13" s="17" t="s">
        <v>771</v>
      </c>
      <c r="C13" s="17" t="s">
        <v>770</v>
      </c>
      <c r="D13" s="17" t="str">
        <f>"0,7327"</f>
        <v>0,7327</v>
      </c>
      <c r="E13" s="17" t="s">
        <v>81</v>
      </c>
      <c r="F13" s="17" t="s">
        <v>82</v>
      </c>
      <c r="G13" s="18" t="s">
        <v>753</v>
      </c>
      <c r="H13" s="18" t="s">
        <v>739</v>
      </c>
      <c r="I13" s="19" t="s">
        <v>42</v>
      </c>
      <c r="J13" s="19"/>
      <c r="K13" s="17" t="str">
        <f>"52,5"</f>
        <v>52,5</v>
      </c>
      <c r="L13" s="18" t="str">
        <f>"38,4667"</f>
        <v>38,4667</v>
      </c>
      <c r="M13" s="17" t="s">
        <v>769</v>
      </c>
    </row>
    <row r="15" spans="1:12" ht="15">
      <c r="A15" s="47" t="s">
        <v>30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3" ht="12.75">
      <c r="A16" s="11" t="s">
        <v>768</v>
      </c>
      <c r="B16" s="11" t="s">
        <v>101</v>
      </c>
      <c r="C16" s="11" t="s">
        <v>102</v>
      </c>
      <c r="D16" s="11" t="str">
        <f>"0,6659"</f>
        <v>0,6659</v>
      </c>
      <c r="E16" s="11" t="s">
        <v>81</v>
      </c>
      <c r="F16" s="11" t="s">
        <v>82</v>
      </c>
      <c r="G16" s="12" t="s">
        <v>767</v>
      </c>
      <c r="H16" s="12" t="s">
        <v>749</v>
      </c>
      <c r="I16" s="13" t="s">
        <v>743</v>
      </c>
      <c r="J16" s="13"/>
      <c r="K16" s="11" t="str">
        <f>"32,5"</f>
        <v>32,5</v>
      </c>
      <c r="L16" s="12" t="str">
        <f>"24,4552"</f>
        <v>24,4552</v>
      </c>
      <c r="M16" s="11" t="s">
        <v>86</v>
      </c>
    </row>
    <row r="18" spans="1:12" ht="15">
      <c r="A18" s="47" t="s">
        <v>137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3" ht="12.75">
      <c r="A19" s="11" t="s">
        <v>578</v>
      </c>
      <c r="B19" s="11" t="s">
        <v>579</v>
      </c>
      <c r="C19" s="11" t="s">
        <v>580</v>
      </c>
      <c r="D19" s="11" t="str">
        <f>"0,6209"</f>
        <v>0,6209</v>
      </c>
      <c r="E19" s="11" t="s">
        <v>81</v>
      </c>
      <c r="F19" s="11" t="s">
        <v>318</v>
      </c>
      <c r="G19" s="12" t="s">
        <v>103</v>
      </c>
      <c r="H19" s="12" t="s">
        <v>56</v>
      </c>
      <c r="I19" s="12" t="s">
        <v>40</v>
      </c>
      <c r="J19" s="13"/>
      <c r="K19" s="11" t="str">
        <f>"55,0"</f>
        <v>55,0</v>
      </c>
      <c r="L19" s="12" t="str">
        <f>"35,5155"</f>
        <v>35,5155</v>
      </c>
      <c r="M19" s="11" t="s">
        <v>319</v>
      </c>
    </row>
    <row r="21" spans="1:12" ht="15">
      <c r="A21" s="47" t="s">
        <v>47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3" ht="12.75">
      <c r="A22" s="11" t="s">
        <v>582</v>
      </c>
      <c r="B22" s="11" t="s">
        <v>583</v>
      </c>
      <c r="C22" s="11" t="s">
        <v>584</v>
      </c>
      <c r="D22" s="11" t="str">
        <f>"0,5910"</f>
        <v>0,5910</v>
      </c>
      <c r="E22" s="11" t="s">
        <v>317</v>
      </c>
      <c r="F22" s="11" t="s">
        <v>318</v>
      </c>
      <c r="G22" s="12" t="s">
        <v>739</v>
      </c>
      <c r="H22" s="12" t="s">
        <v>41</v>
      </c>
      <c r="I22" s="13" t="s">
        <v>766</v>
      </c>
      <c r="J22" s="13"/>
      <c r="K22" s="11" t="str">
        <f>"57,5"</f>
        <v>57,5</v>
      </c>
      <c r="L22" s="12" t="str">
        <f>"35,0020"</f>
        <v>35,0020</v>
      </c>
      <c r="M22" s="11" t="s">
        <v>319</v>
      </c>
    </row>
    <row r="24" spans="1:12" ht="15">
      <c r="A24" s="47" t="s">
        <v>160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3" ht="12.75">
      <c r="A25" s="14" t="s">
        <v>765</v>
      </c>
      <c r="B25" s="14" t="s">
        <v>764</v>
      </c>
      <c r="C25" s="14" t="s">
        <v>763</v>
      </c>
      <c r="D25" s="14" t="str">
        <f>"0,5581"</f>
        <v>0,5581</v>
      </c>
      <c r="E25" s="14" t="s">
        <v>52</v>
      </c>
      <c r="F25" s="14" t="s">
        <v>53</v>
      </c>
      <c r="G25" s="15" t="s">
        <v>40</v>
      </c>
      <c r="H25" s="15" t="s">
        <v>762</v>
      </c>
      <c r="I25" s="15" t="s">
        <v>732</v>
      </c>
      <c r="J25" s="16"/>
      <c r="K25" s="14" t="str">
        <f>"67,5"</f>
        <v>67,5</v>
      </c>
      <c r="L25" s="15" t="str">
        <f>"37,6717"</f>
        <v>37,6717</v>
      </c>
      <c r="M25" s="14" t="s">
        <v>589</v>
      </c>
    </row>
    <row r="26" spans="1:13" ht="12.75">
      <c r="A26" s="20" t="s">
        <v>761</v>
      </c>
      <c r="B26" s="20" t="s">
        <v>760</v>
      </c>
      <c r="C26" s="20" t="s">
        <v>423</v>
      </c>
      <c r="D26" s="20" t="str">
        <f>"0,5613"</f>
        <v>0,5613</v>
      </c>
      <c r="E26" s="20" t="s">
        <v>52</v>
      </c>
      <c r="F26" s="20" t="s">
        <v>53</v>
      </c>
      <c r="G26" s="21" t="s">
        <v>41</v>
      </c>
      <c r="H26" s="22" t="s">
        <v>41</v>
      </c>
      <c r="I26" s="21" t="s">
        <v>732</v>
      </c>
      <c r="J26" s="21"/>
      <c r="K26" s="20" t="str">
        <f>"57,5"</f>
        <v>57,5</v>
      </c>
      <c r="L26" s="22" t="str">
        <f>"32,2747"</f>
        <v>32,2747</v>
      </c>
      <c r="M26" s="20" t="s">
        <v>159</v>
      </c>
    </row>
    <row r="27" spans="1:13" ht="12.75">
      <c r="A27" s="17" t="s">
        <v>759</v>
      </c>
      <c r="B27" s="17" t="s">
        <v>758</v>
      </c>
      <c r="C27" s="17" t="s">
        <v>757</v>
      </c>
      <c r="D27" s="17" t="str">
        <f>"0,5685"</f>
        <v>0,5685</v>
      </c>
      <c r="E27" s="17" t="s">
        <v>91</v>
      </c>
      <c r="F27" s="17" t="s">
        <v>381</v>
      </c>
      <c r="G27" s="18" t="s">
        <v>41</v>
      </c>
      <c r="H27" s="18" t="s">
        <v>732</v>
      </c>
      <c r="I27" s="19"/>
      <c r="J27" s="19"/>
      <c r="K27" s="17" t="str">
        <f>"67,5"</f>
        <v>67,5</v>
      </c>
      <c r="L27" s="18" t="str">
        <f>"41,0215"</f>
        <v>41,0215</v>
      </c>
      <c r="M27" s="17" t="s">
        <v>159</v>
      </c>
    </row>
    <row r="29" spans="1:12" ht="15">
      <c r="A29" s="47" t="s">
        <v>193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2.75">
      <c r="A30" s="11" t="s">
        <v>756</v>
      </c>
      <c r="B30" s="11" t="s">
        <v>480</v>
      </c>
      <c r="C30" s="11" t="s">
        <v>755</v>
      </c>
      <c r="D30" s="11" t="str">
        <f>"0,5421"</f>
        <v>0,5421</v>
      </c>
      <c r="E30" s="11" t="s">
        <v>482</v>
      </c>
      <c r="F30" s="11" t="s">
        <v>483</v>
      </c>
      <c r="G30" s="13" t="s">
        <v>42</v>
      </c>
      <c r="H30" s="13"/>
      <c r="I30" s="13"/>
      <c r="J30" s="13"/>
      <c r="K30" s="11" t="str">
        <f>"0.00"</f>
        <v>0.00</v>
      </c>
      <c r="L30" s="12" t="str">
        <f>"0,0000"</f>
        <v>0,0000</v>
      </c>
      <c r="M30" s="11" t="s">
        <v>159</v>
      </c>
    </row>
    <row r="32" ht="15">
      <c r="E32" s="9" t="s">
        <v>14</v>
      </c>
    </row>
    <row r="33" spans="1:5" s="3" customFormat="1" ht="15">
      <c r="A33" s="4"/>
      <c r="B33" s="4"/>
      <c r="C33" s="4"/>
      <c r="D33" s="4"/>
      <c r="E33" s="9" t="s">
        <v>15</v>
      </c>
    </row>
    <row r="34" spans="1:5" s="3" customFormat="1" ht="15">
      <c r="A34" s="4"/>
      <c r="B34" s="4"/>
      <c r="C34" s="4"/>
      <c r="D34" s="4"/>
      <c r="E34" s="9" t="s">
        <v>16</v>
      </c>
    </row>
    <row r="35" spans="1:5" s="3" customFormat="1" ht="15">
      <c r="A35" s="4"/>
      <c r="B35" s="4"/>
      <c r="C35" s="4"/>
      <c r="D35" s="4"/>
      <c r="E35" s="9" t="s">
        <v>17</v>
      </c>
    </row>
    <row r="36" spans="1:5" s="3" customFormat="1" ht="15">
      <c r="A36" s="4"/>
      <c r="B36" s="4"/>
      <c r="C36" s="4"/>
      <c r="D36" s="4"/>
      <c r="E36" s="9" t="s">
        <v>17</v>
      </c>
    </row>
    <row r="37" spans="1:5" s="3" customFormat="1" ht="15">
      <c r="A37" s="4"/>
      <c r="B37" s="4"/>
      <c r="C37" s="4"/>
      <c r="D37" s="4"/>
      <c r="E37" s="9" t="s">
        <v>18</v>
      </c>
    </row>
    <row r="38" spans="1:5" s="3" customFormat="1" ht="15">
      <c r="A38" s="4"/>
      <c r="B38" s="4"/>
      <c r="C38" s="4"/>
      <c r="D38" s="4"/>
      <c r="E38" s="9"/>
    </row>
    <row r="40" spans="1:5" s="3" customFormat="1" ht="18">
      <c r="A40" s="10" t="s">
        <v>19</v>
      </c>
      <c r="B40" s="10"/>
      <c r="C40" s="4"/>
      <c r="D40" s="4"/>
      <c r="E40" s="4"/>
    </row>
    <row r="41" spans="1:5" s="3" customFormat="1" ht="15">
      <c r="A41" s="23" t="s">
        <v>229</v>
      </c>
      <c r="B41" s="23"/>
      <c r="C41" s="4"/>
      <c r="D41" s="4"/>
      <c r="E41" s="4"/>
    </row>
    <row r="42" spans="1:5" s="3" customFormat="1" ht="14.25">
      <c r="A42" s="25"/>
      <c r="B42" s="26" t="s">
        <v>230</v>
      </c>
      <c r="C42" s="4"/>
      <c r="D42" s="4"/>
      <c r="E42" s="4"/>
    </row>
    <row r="43" spans="1:5" s="3" customFormat="1" ht="15">
      <c r="A43" s="27" t="s">
        <v>218</v>
      </c>
      <c r="B43" s="27" t="s">
        <v>219</v>
      </c>
      <c r="C43" s="27" t="s">
        <v>220</v>
      </c>
      <c r="D43" s="27" t="s">
        <v>221</v>
      </c>
      <c r="E43" s="27" t="s">
        <v>222</v>
      </c>
    </row>
    <row r="44" spans="1:5" s="3" customFormat="1" ht="12.75">
      <c r="A44" s="24" t="s">
        <v>754</v>
      </c>
      <c r="B44" s="4" t="s">
        <v>231</v>
      </c>
      <c r="C44" s="4" t="s">
        <v>237</v>
      </c>
      <c r="D44" s="4" t="s">
        <v>753</v>
      </c>
      <c r="E44" s="28" t="s">
        <v>752</v>
      </c>
    </row>
    <row r="45" spans="1:5" s="3" customFormat="1" ht="12.75">
      <c r="A45" s="24" t="s">
        <v>577</v>
      </c>
      <c r="B45" s="4" t="s">
        <v>452</v>
      </c>
      <c r="C45" s="4" t="s">
        <v>234</v>
      </c>
      <c r="D45" s="4" t="s">
        <v>40</v>
      </c>
      <c r="E45" s="28" t="s">
        <v>751</v>
      </c>
    </row>
    <row r="46" spans="1:5" s="3" customFormat="1" ht="12.75">
      <c r="A46" s="24" t="s">
        <v>750</v>
      </c>
      <c r="B46" s="4" t="s">
        <v>231</v>
      </c>
      <c r="C46" s="4" t="s">
        <v>226</v>
      </c>
      <c r="D46" s="4" t="s">
        <v>749</v>
      </c>
      <c r="E46" s="28" t="s">
        <v>748</v>
      </c>
    </row>
    <row r="48" spans="1:5" s="3" customFormat="1" ht="14.25">
      <c r="A48" s="25"/>
      <c r="B48" s="26" t="s">
        <v>245</v>
      </c>
      <c r="C48" s="4"/>
      <c r="D48" s="4"/>
      <c r="E48" s="4"/>
    </row>
    <row r="49" spans="1:5" s="3" customFormat="1" ht="15">
      <c r="A49" s="27" t="s">
        <v>218</v>
      </c>
      <c r="B49" s="27" t="s">
        <v>219</v>
      </c>
      <c r="C49" s="27" t="s">
        <v>220</v>
      </c>
      <c r="D49" s="27" t="s">
        <v>221</v>
      </c>
      <c r="E49" s="27" t="s">
        <v>222</v>
      </c>
    </row>
    <row r="50" spans="1:5" s="3" customFormat="1" ht="12.75">
      <c r="A50" s="24" t="s">
        <v>721</v>
      </c>
      <c r="B50" s="4" t="s">
        <v>246</v>
      </c>
      <c r="C50" s="4" t="s">
        <v>611</v>
      </c>
      <c r="D50" s="4" t="s">
        <v>40</v>
      </c>
      <c r="E50" s="28" t="s">
        <v>747</v>
      </c>
    </row>
    <row r="51" spans="1:5" s="3" customFormat="1" ht="12.75">
      <c r="A51" s="24" t="s">
        <v>746</v>
      </c>
      <c r="B51" s="4" t="s">
        <v>246</v>
      </c>
      <c r="C51" s="4" t="s">
        <v>237</v>
      </c>
      <c r="D51" s="4" t="s">
        <v>739</v>
      </c>
      <c r="E51" s="28" t="s">
        <v>745</v>
      </c>
    </row>
    <row r="52" spans="1:5" s="3" customFormat="1" ht="12.75">
      <c r="A52" s="24" t="s">
        <v>581</v>
      </c>
      <c r="B52" s="4" t="s">
        <v>246</v>
      </c>
      <c r="C52" s="4" t="s">
        <v>223</v>
      </c>
      <c r="D52" s="4" t="s">
        <v>41</v>
      </c>
      <c r="E52" s="28" t="s">
        <v>744</v>
      </c>
    </row>
    <row r="53" spans="1:5" s="3" customFormat="1" ht="12.75">
      <c r="A53" s="24" t="s">
        <v>77</v>
      </c>
      <c r="B53" s="4" t="s">
        <v>246</v>
      </c>
      <c r="C53" s="4" t="s">
        <v>237</v>
      </c>
      <c r="D53" s="4" t="s">
        <v>743</v>
      </c>
      <c r="E53" s="28" t="s">
        <v>742</v>
      </c>
    </row>
    <row r="55" spans="1:5" s="3" customFormat="1" ht="14.25">
      <c r="A55" s="25"/>
      <c r="B55" s="26" t="s">
        <v>217</v>
      </c>
      <c r="C55" s="4"/>
      <c r="D55" s="4"/>
      <c r="E55" s="4"/>
    </row>
    <row r="56" spans="1:5" s="3" customFormat="1" ht="15">
      <c r="A56" s="27" t="s">
        <v>218</v>
      </c>
      <c r="B56" s="27" t="s">
        <v>219</v>
      </c>
      <c r="C56" s="27" t="s">
        <v>220</v>
      </c>
      <c r="D56" s="27" t="s">
        <v>221</v>
      </c>
      <c r="E56" s="27" t="s">
        <v>222</v>
      </c>
    </row>
    <row r="57" spans="1:5" s="3" customFormat="1" ht="12.75">
      <c r="A57" s="24" t="s">
        <v>362</v>
      </c>
      <c r="B57" s="4" t="s">
        <v>217</v>
      </c>
      <c r="C57" s="4" t="s">
        <v>237</v>
      </c>
      <c r="D57" s="4" t="s">
        <v>739</v>
      </c>
      <c r="E57" s="28" t="s">
        <v>741</v>
      </c>
    </row>
    <row r="58" spans="1:5" s="3" customFormat="1" ht="12.75">
      <c r="A58" s="24" t="s">
        <v>740</v>
      </c>
      <c r="B58" s="4" t="s">
        <v>217</v>
      </c>
      <c r="C58" s="4" t="s">
        <v>237</v>
      </c>
      <c r="D58" s="4" t="s">
        <v>739</v>
      </c>
      <c r="E58" s="28" t="s">
        <v>738</v>
      </c>
    </row>
    <row r="59" spans="1:5" s="3" customFormat="1" ht="12.75">
      <c r="A59" s="24" t="s">
        <v>737</v>
      </c>
      <c r="B59" s="4" t="s">
        <v>217</v>
      </c>
      <c r="C59" s="4" t="s">
        <v>242</v>
      </c>
      <c r="D59" s="4" t="s">
        <v>732</v>
      </c>
      <c r="E59" s="28" t="s">
        <v>736</v>
      </c>
    </row>
    <row r="60" spans="1:5" s="3" customFormat="1" ht="12.75">
      <c r="A60" s="24" t="s">
        <v>735</v>
      </c>
      <c r="B60" s="4" t="s">
        <v>217</v>
      </c>
      <c r="C60" s="4" t="s">
        <v>242</v>
      </c>
      <c r="D60" s="4" t="s">
        <v>41</v>
      </c>
      <c r="E60" s="28" t="s">
        <v>734</v>
      </c>
    </row>
    <row r="62" spans="1:5" s="3" customFormat="1" ht="14.25">
      <c r="A62" s="25"/>
      <c r="B62" s="26" t="s">
        <v>278</v>
      </c>
      <c r="C62" s="4"/>
      <c r="D62" s="4"/>
      <c r="E62" s="4"/>
    </row>
    <row r="63" spans="1:5" s="3" customFormat="1" ht="15">
      <c r="A63" s="27" t="s">
        <v>218</v>
      </c>
      <c r="B63" s="27" t="s">
        <v>219</v>
      </c>
      <c r="C63" s="27" t="s">
        <v>220</v>
      </c>
      <c r="D63" s="27" t="s">
        <v>221</v>
      </c>
      <c r="E63" s="27" t="s">
        <v>222</v>
      </c>
    </row>
    <row r="64" spans="1:5" s="3" customFormat="1" ht="12.75">
      <c r="A64" s="24" t="s">
        <v>733</v>
      </c>
      <c r="B64" s="4" t="s">
        <v>469</v>
      </c>
      <c r="C64" s="4" t="s">
        <v>242</v>
      </c>
      <c r="D64" s="4" t="s">
        <v>732</v>
      </c>
      <c r="E64" s="28" t="s">
        <v>731</v>
      </c>
    </row>
  </sheetData>
  <sheetProtection/>
  <mergeCells count="18">
    <mergeCell ref="E3:E4"/>
    <mergeCell ref="A24:L24"/>
    <mergeCell ref="A29:L29"/>
    <mergeCell ref="A5:L5"/>
    <mergeCell ref="A8:L8"/>
    <mergeCell ref="A15:L15"/>
    <mergeCell ref="A18:L18"/>
    <mergeCell ref="A21:L21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</mergeCells>
  <printOptions/>
  <pageMargins left="0.1968503937007874" right="0.4724409448818898" top="0.4330708661417323" bottom="0.4724409448818898" header="0.5118110236220472" footer="0.5118110236220472"/>
  <pageSetup fitToHeight="1" fitToWidth="1" horizontalDpi="600" verticalDpi="600" orientation="landscape" scale="60" r:id="rId2"/>
  <headerFooter alignWithMargins="0">
    <oddFooter>&amp;L&amp;G&amp;R&amp;D&amp;T&amp;P</oddFoot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9.875" style="4" bestFit="1" customWidth="1"/>
    <col min="7" max="7" width="5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8.25390625" style="4" bestFit="1" customWidth="1"/>
    <col min="12" max="16384" width="9.125" style="3" customWidth="1"/>
  </cols>
  <sheetData>
    <row r="1" spans="1:11" s="2" customFormat="1" ht="28.5" customHeight="1">
      <c r="A1" s="44" t="s">
        <v>794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792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1" t="s">
        <v>790</v>
      </c>
      <c r="B6" s="11" t="s">
        <v>771</v>
      </c>
      <c r="C6" s="11" t="s">
        <v>789</v>
      </c>
      <c r="D6" s="11" t="str">
        <f>"1,0000"</f>
        <v>1,0000</v>
      </c>
      <c r="E6" s="11" t="s">
        <v>324</v>
      </c>
      <c r="F6" s="11" t="s">
        <v>409</v>
      </c>
      <c r="G6" s="12" t="s">
        <v>98</v>
      </c>
      <c r="H6" s="50" t="s">
        <v>788</v>
      </c>
      <c r="I6" s="11" t="str">
        <f>"3200,0"</f>
        <v>3200,0</v>
      </c>
      <c r="J6" s="12" t="str">
        <f>"34,1151"</f>
        <v>34,1151</v>
      </c>
      <c r="K6" s="11" t="s">
        <v>159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229</v>
      </c>
      <c r="B17" s="23"/>
      <c r="C17" s="4"/>
      <c r="D17" s="4"/>
      <c r="E17" s="4"/>
    </row>
    <row r="18" spans="1:5" s="3" customFormat="1" ht="14.25">
      <c r="A18" s="25"/>
      <c r="B18" s="26" t="s">
        <v>217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787</v>
      </c>
    </row>
    <row r="20" spans="1:5" s="3" customFormat="1" ht="12.75">
      <c r="A20" s="24" t="s">
        <v>786</v>
      </c>
      <c r="B20" s="4" t="s">
        <v>217</v>
      </c>
      <c r="C20" s="4" t="s">
        <v>785</v>
      </c>
      <c r="D20" s="4" t="s">
        <v>784</v>
      </c>
      <c r="E20" s="28" t="s">
        <v>783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9.125" style="4" bestFit="1" customWidth="1"/>
    <col min="7" max="7" width="5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8.25390625" style="4" bestFit="1" customWidth="1"/>
    <col min="12" max="16384" width="9.125" style="3" customWidth="1"/>
  </cols>
  <sheetData>
    <row r="1" spans="1:11" s="2" customFormat="1" ht="28.5" customHeight="1">
      <c r="A1" s="44" t="s">
        <v>803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792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1" t="s">
        <v>802</v>
      </c>
      <c r="B6" s="11" t="s">
        <v>801</v>
      </c>
      <c r="C6" s="11" t="s">
        <v>800</v>
      </c>
      <c r="D6" s="11" t="str">
        <f>"1,0000"</f>
        <v>1,0000</v>
      </c>
      <c r="E6" s="11" t="s">
        <v>799</v>
      </c>
      <c r="F6" s="11" t="s">
        <v>53</v>
      </c>
      <c r="G6" s="12" t="s">
        <v>136</v>
      </c>
      <c r="H6" s="50" t="s">
        <v>798</v>
      </c>
      <c r="I6" s="11" t="str">
        <f>"4200,0"</f>
        <v>4200,0</v>
      </c>
      <c r="J6" s="12" t="str">
        <f>"56,7567"</f>
        <v>56,7567</v>
      </c>
      <c r="K6" s="11" t="s">
        <v>159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229</v>
      </c>
      <c r="B17" s="23"/>
      <c r="C17" s="4"/>
      <c r="D17" s="4"/>
      <c r="E17" s="4"/>
    </row>
    <row r="18" spans="1:5" s="3" customFormat="1" ht="14.25">
      <c r="A18" s="25"/>
      <c r="B18" s="26" t="s">
        <v>217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787</v>
      </c>
    </row>
    <row r="20" spans="1:5" s="3" customFormat="1" ht="12.75">
      <c r="A20" s="24" t="s">
        <v>797</v>
      </c>
      <c r="B20" s="4" t="s">
        <v>217</v>
      </c>
      <c r="C20" s="4" t="s">
        <v>785</v>
      </c>
      <c r="D20" s="4" t="s">
        <v>796</v>
      </c>
      <c r="E20" s="28" t="s">
        <v>795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37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9.875" style="4" bestFit="1" customWidth="1"/>
    <col min="7" max="7" width="5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12.75390625" style="4" bestFit="1" customWidth="1"/>
    <col min="12" max="16384" width="9.125" style="3" customWidth="1"/>
  </cols>
  <sheetData>
    <row r="1" spans="1:11" s="2" customFormat="1" ht="28.5" customHeight="1">
      <c r="A1" s="44" t="s">
        <v>817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792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4" t="s">
        <v>105</v>
      </c>
      <c r="B6" s="14" t="s">
        <v>106</v>
      </c>
      <c r="C6" s="14" t="s">
        <v>107</v>
      </c>
      <c r="D6" s="14" t="str">
        <f>"1,0000"</f>
        <v>1,0000</v>
      </c>
      <c r="E6" s="14" t="s">
        <v>108</v>
      </c>
      <c r="F6" s="14" t="s">
        <v>109</v>
      </c>
      <c r="G6" s="15" t="s">
        <v>43</v>
      </c>
      <c r="H6" s="54" t="s">
        <v>816</v>
      </c>
      <c r="I6" s="14" t="str">
        <f>"4800,0"</f>
        <v>4800,0</v>
      </c>
      <c r="J6" s="15" t="str">
        <f>"65,9340"</f>
        <v>65,9340</v>
      </c>
      <c r="K6" s="14" t="s">
        <v>116</v>
      </c>
    </row>
    <row r="7" spans="1:11" ht="12.75">
      <c r="A7" s="20" t="s">
        <v>815</v>
      </c>
      <c r="B7" s="20" t="s">
        <v>570</v>
      </c>
      <c r="C7" s="20" t="s">
        <v>571</v>
      </c>
      <c r="D7" s="20" t="str">
        <f>"1,0000"</f>
        <v>1,0000</v>
      </c>
      <c r="E7" s="20" t="s">
        <v>108</v>
      </c>
      <c r="F7" s="20" t="s">
        <v>572</v>
      </c>
      <c r="G7" s="22" t="s">
        <v>43</v>
      </c>
      <c r="H7" s="53" t="s">
        <v>743</v>
      </c>
      <c r="I7" s="20" t="str">
        <f>"4500,0"</f>
        <v>4500,0</v>
      </c>
      <c r="J7" s="22" t="str">
        <f>"72,9335"</f>
        <v>72,9335</v>
      </c>
      <c r="K7" s="20" t="s">
        <v>116</v>
      </c>
    </row>
    <row r="8" spans="1:11" ht="12.75">
      <c r="A8" s="20" t="s">
        <v>765</v>
      </c>
      <c r="B8" s="20" t="s">
        <v>764</v>
      </c>
      <c r="C8" s="20" t="s">
        <v>763</v>
      </c>
      <c r="D8" s="20" t="str">
        <f>"1,0000"</f>
        <v>1,0000</v>
      </c>
      <c r="E8" s="20" t="s">
        <v>52</v>
      </c>
      <c r="F8" s="20" t="s">
        <v>53</v>
      </c>
      <c r="G8" s="22" t="s">
        <v>43</v>
      </c>
      <c r="H8" s="53" t="s">
        <v>814</v>
      </c>
      <c r="I8" s="20" t="str">
        <f>"5400,0"</f>
        <v>5400,0</v>
      </c>
      <c r="J8" s="22" t="str">
        <f>"54,8780"</f>
        <v>54,8780</v>
      </c>
      <c r="K8" s="20" t="s">
        <v>589</v>
      </c>
    </row>
    <row r="9" spans="1:11" ht="12.75">
      <c r="A9" s="20" t="s">
        <v>761</v>
      </c>
      <c r="B9" s="20" t="s">
        <v>760</v>
      </c>
      <c r="C9" s="20" t="s">
        <v>423</v>
      </c>
      <c r="D9" s="20" t="str">
        <f>"1,0000"</f>
        <v>1,0000</v>
      </c>
      <c r="E9" s="20" t="s">
        <v>52</v>
      </c>
      <c r="F9" s="20" t="s">
        <v>53</v>
      </c>
      <c r="G9" s="22" t="s">
        <v>43</v>
      </c>
      <c r="H9" s="53" t="s">
        <v>778</v>
      </c>
      <c r="I9" s="20" t="str">
        <f>"4200,0"</f>
        <v>4200,0</v>
      </c>
      <c r="J9" s="22" t="str">
        <f>"43,2098"</f>
        <v>43,2098</v>
      </c>
      <c r="K9" s="20" t="s">
        <v>159</v>
      </c>
    </row>
    <row r="10" spans="1:11" ht="12.75">
      <c r="A10" s="17" t="s">
        <v>813</v>
      </c>
      <c r="B10" s="17" t="s">
        <v>407</v>
      </c>
      <c r="C10" s="17" t="s">
        <v>408</v>
      </c>
      <c r="D10" s="17" t="str">
        <f>"1,0000"</f>
        <v>1,0000</v>
      </c>
      <c r="E10" s="17" t="s">
        <v>324</v>
      </c>
      <c r="F10" s="17" t="s">
        <v>409</v>
      </c>
      <c r="G10" s="18" t="s">
        <v>43</v>
      </c>
      <c r="H10" s="52" t="s">
        <v>701</v>
      </c>
      <c r="I10" s="17" t="str">
        <f>"3000,0"</f>
        <v>3000,0</v>
      </c>
      <c r="J10" s="18" t="str">
        <f>"34,4827"</f>
        <v>34,4827</v>
      </c>
      <c r="K10" s="17" t="s">
        <v>410</v>
      </c>
    </row>
    <row r="12" ht="15">
      <c r="E12" s="9" t="s">
        <v>14</v>
      </c>
    </row>
    <row r="13" ht="15">
      <c r="E13" s="9" t="s">
        <v>15</v>
      </c>
    </row>
    <row r="14" ht="15">
      <c r="E14" s="9" t="s">
        <v>16</v>
      </c>
    </row>
    <row r="15" ht="15">
      <c r="E15" s="9" t="s">
        <v>17</v>
      </c>
    </row>
    <row r="16" ht="15">
      <c r="E16" s="9" t="s">
        <v>17</v>
      </c>
    </row>
    <row r="17" spans="1:5" s="3" customFormat="1" ht="15">
      <c r="A17" s="4"/>
      <c r="B17" s="4"/>
      <c r="C17" s="4"/>
      <c r="D17" s="4"/>
      <c r="E17" s="9" t="s">
        <v>18</v>
      </c>
    </row>
    <row r="18" spans="1:5" s="3" customFormat="1" ht="15">
      <c r="A18" s="4"/>
      <c r="B18" s="4"/>
      <c r="C18" s="4"/>
      <c r="D18" s="4"/>
      <c r="E18" s="9"/>
    </row>
    <row r="20" spans="1:5" s="3" customFormat="1" ht="18">
      <c r="A20" s="10" t="s">
        <v>19</v>
      </c>
      <c r="B20" s="10"/>
      <c r="C20" s="4"/>
      <c r="D20" s="4"/>
      <c r="E20" s="4"/>
    </row>
    <row r="21" spans="1:5" s="3" customFormat="1" ht="15">
      <c r="A21" s="23" t="s">
        <v>229</v>
      </c>
      <c r="B21" s="23"/>
      <c r="C21" s="4"/>
      <c r="D21" s="4"/>
      <c r="E21" s="4"/>
    </row>
    <row r="22" spans="1:5" s="3" customFormat="1" ht="14.25">
      <c r="A22" s="25"/>
      <c r="B22" s="26" t="s">
        <v>245</v>
      </c>
      <c r="C22" s="4"/>
      <c r="D22" s="4"/>
      <c r="E22" s="4"/>
    </row>
    <row r="23" spans="1:5" s="3" customFormat="1" ht="15">
      <c r="A23" s="27" t="s">
        <v>218</v>
      </c>
      <c r="B23" s="27" t="s">
        <v>219</v>
      </c>
      <c r="C23" s="27" t="s">
        <v>220</v>
      </c>
      <c r="D23" s="27" t="s">
        <v>221</v>
      </c>
      <c r="E23" s="27" t="s">
        <v>787</v>
      </c>
    </row>
    <row r="24" spans="1:5" s="3" customFormat="1" ht="12.75">
      <c r="A24" s="24" t="s">
        <v>568</v>
      </c>
      <c r="B24" s="4" t="s">
        <v>246</v>
      </c>
      <c r="C24" s="4" t="s">
        <v>785</v>
      </c>
      <c r="D24" s="4" t="s">
        <v>812</v>
      </c>
      <c r="E24" s="28" t="s">
        <v>811</v>
      </c>
    </row>
    <row r="25" spans="1:5" s="3" customFormat="1" ht="12.75">
      <c r="A25" s="24" t="s">
        <v>104</v>
      </c>
      <c r="B25" s="4" t="s">
        <v>246</v>
      </c>
      <c r="C25" s="4" t="s">
        <v>785</v>
      </c>
      <c r="D25" s="4" t="s">
        <v>810</v>
      </c>
      <c r="E25" s="28" t="s">
        <v>809</v>
      </c>
    </row>
    <row r="27" spans="1:5" s="3" customFormat="1" ht="14.25">
      <c r="A27" s="25"/>
      <c r="B27" s="26" t="s">
        <v>217</v>
      </c>
      <c r="C27" s="4"/>
      <c r="D27" s="4"/>
      <c r="E27" s="4"/>
    </row>
    <row r="28" spans="1:5" s="3" customFormat="1" ht="15">
      <c r="A28" s="27" t="s">
        <v>218</v>
      </c>
      <c r="B28" s="27" t="s">
        <v>219</v>
      </c>
      <c r="C28" s="27" t="s">
        <v>220</v>
      </c>
      <c r="D28" s="27" t="s">
        <v>221</v>
      </c>
      <c r="E28" s="27" t="s">
        <v>787</v>
      </c>
    </row>
    <row r="29" spans="1:5" s="3" customFormat="1" ht="12.75">
      <c r="A29" s="24" t="s">
        <v>737</v>
      </c>
      <c r="B29" s="4" t="s">
        <v>217</v>
      </c>
      <c r="C29" s="4" t="s">
        <v>785</v>
      </c>
      <c r="D29" s="4" t="s">
        <v>808</v>
      </c>
      <c r="E29" s="28" t="s">
        <v>807</v>
      </c>
    </row>
    <row r="30" spans="1:5" s="3" customFormat="1" ht="12.75">
      <c r="A30" s="24" t="s">
        <v>735</v>
      </c>
      <c r="B30" s="4" t="s">
        <v>217</v>
      </c>
      <c r="C30" s="4" t="s">
        <v>785</v>
      </c>
      <c r="D30" s="4" t="s">
        <v>796</v>
      </c>
      <c r="E30" s="28" t="s">
        <v>806</v>
      </c>
    </row>
    <row r="31" spans="1:5" s="3" customFormat="1" ht="12.75">
      <c r="A31" s="24" t="s">
        <v>405</v>
      </c>
      <c r="B31" s="4" t="s">
        <v>217</v>
      </c>
      <c r="C31" s="4" t="s">
        <v>785</v>
      </c>
      <c r="D31" s="4" t="s">
        <v>805</v>
      </c>
      <c r="E31" s="28" t="s">
        <v>804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9.125" style="4" bestFit="1" customWidth="1"/>
    <col min="7" max="7" width="4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15.375" style="4" bestFit="1" customWidth="1"/>
    <col min="12" max="16384" width="9.125" style="3" customWidth="1"/>
  </cols>
  <sheetData>
    <row r="1" spans="1:11" s="2" customFormat="1" ht="28.5" customHeight="1">
      <c r="A1" s="44" t="s">
        <v>834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792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4" t="s">
        <v>833</v>
      </c>
      <c r="B6" s="14" t="s">
        <v>832</v>
      </c>
      <c r="C6" s="14" t="s">
        <v>831</v>
      </c>
      <c r="D6" s="14" t="str">
        <f>"1,0000"</f>
        <v>1,0000</v>
      </c>
      <c r="E6" s="14" t="s">
        <v>656</v>
      </c>
      <c r="F6" s="14" t="s">
        <v>53</v>
      </c>
      <c r="G6" s="15" t="s">
        <v>66</v>
      </c>
      <c r="H6" s="54" t="s">
        <v>830</v>
      </c>
      <c r="I6" s="14" t="str">
        <f>"2850,0"</f>
        <v>2850,0</v>
      </c>
      <c r="J6" s="15" t="str">
        <f>"42,8571"</f>
        <v>42,8571</v>
      </c>
      <c r="K6" s="14" t="s">
        <v>657</v>
      </c>
    </row>
    <row r="7" spans="1:11" ht="12.75">
      <c r="A7" s="17" t="s">
        <v>829</v>
      </c>
      <c r="B7" s="17" t="s">
        <v>828</v>
      </c>
      <c r="C7" s="17" t="s">
        <v>827</v>
      </c>
      <c r="D7" s="17" t="str">
        <f>"1,0000"</f>
        <v>1,0000</v>
      </c>
      <c r="E7" s="17" t="s">
        <v>402</v>
      </c>
      <c r="F7" s="17" t="s">
        <v>826</v>
      </c>
      <c r="G7" s="18" t="s">
        <v>66</v>
      </c>
      <c r="H7" s="52" t="s">
        <v>825</v>
      </c>
      <c r="I7" s="17" t="str">
        <f>"2025,0"</f>
        <v>2025,0</v>
      </c>
      <c r="J7" s="18" t="str">
        <f>"42,1875"</f>
        <v>42,1875</v>
      </c>
      <c r="K7" s="17" t="s">
        <v>824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17</v>
      </c>
    </row>
    <row r="13" ht="15">
      <c r="E13" s="9" t="s">
        <v>17</v>
      </c>
    </row>
    <row r="14" ht="15">
      <c r="E14" s="9" t="s">
        <v>18</v>
      </c>
    </row>
    <row r="15" ht="15">
      <c r="E15" s="9"/>
    </row>
    <row r="17" spans="1:5" s="3" customFormat="1" ht="18">
      <c r="A17" s="10" t="s">
        <v>19</v>
      </c>
      <c r="B17" s="10"/>
      <c r="C17" s="4"/>
      <c r="D17" s="4"/>
      <c r="E17" s="4"/>
    </row>
    <row r="18" spans="1:5" s="3" customFormat="1" ht="15">
      <c r="A18" s="23" t="s">
        <v>216</v>
      </c>
      <c r="B18" s="23"/>
      <c r="C18" s="4"/>
      <c r="D18" s="4"/>
      <c r="E18" s="4"/>
    </row>
    <row r="19" spans="1:5" s="3" customFormat="1" ht="14.25">
      <c r="A19" s="25"/>
      <c r="B19" s="26" t="s">
        <v>217</v>
      </c>
      <c r="C19" s="4"/>
      <c r="D19" s="4"/>
      <c r="E19" s="4"/>
    </row>
    <row r="20" spans="1:5" s="3" customFormat="1" ht="15">
      <c r="A20" s="27" t="s">
        <v>218</v>
      </c>
      <c r="B20" s="27" t="s">
        <v>219</v>
      </c>
      <c r="C20" s="27" t="s">
        <v>220</v>
      </c>
      <c r="D20" s="27" t="s">
        <v>221</v>
      </c>
      <c r="E20" s="27" t="s">
        <v>787</v>
      </c>
    </row>
    <row r="21" spans="1:5" s="3" customFormat="1" ht="12.75">
      <c r="A21" s="24" t="s">
        <v>823</v>
      </c>
      <c r="B21" s="4" t="s">
        <v>217</v>
      </c>
      <c r="C21" s="4" t="s">
        <v>785</v>
      </c>
      <c r="D21" s="4" t="s">
        <v>822</v>
      </c>
      <c r="E21" s="28" t="s">
        <v>821</v>
      </c>
    </row>
    <row r="22" spans="1:5" s="3" customFormat="1" ht="12.75">
      <c r="A22" s="24" t="s">
        <v>820</v>
      </c>
      <c r="B22" s="4" t="s">
        <v>217</v>
      </c>
      <c r="C22" s="4" t="s">
        <v>785</v>
      </c>
      <c r="D22" s="4" t="s">
        <v>819</v>
      </c>
      <c r="E22" s="28" t="s">
        <v>818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1.75390625" style="4" bestFit="1" customWidth="1"/>
    <col min="7" max="7" width="4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17.625" style="4" bestFit="1" customWidth="1"/>
    <col min="12" max="16384" width="9.125" style="3" customWidth="1"/>
  </cols>
  <sheetData>
    <row r="1" spans="1:11" s="2" customFormat="1" ht="28.5" customHeight="1">
      <c r="A1" s="44" t="s">
        <v>849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792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4" t="s">
        <v>848</v>
      </c>
      <c r="B6" s="14" t="s">
        <v>847</v>
      </c>
      <c r="C6" s="14" t="s">
        <v>846</v>
      </c>
      <c r="D6" s="14" t="str">
        <f>"1,0000"</f>
        <v>1,0000</v>
      </c>
      <c r="E6" s="14" t="s">
        <v>633</v>
      </c>
      <c r="F6" s="14" t="s">
        <v>409</v>
      </c>
      <c r="G6" s="15" t="s">
        <v>40</v>
      </c>
      <c r="H6" s="54" t="s">
        <v>845</v>
      </c>
      <c r="I6" s="14" t="str">
        <f>"4455,0"</f>
        <v>4455,0</v>
      </c>
      <c r="J6" s="15" t="str">
        <f>"71,3942"</f>
        <v>71,3942</v>
      </c>
      <c r="K6" s="14" t="s">
        <v>844</v>
      </c>
    </row>
    <row r="7" spans="1:11" ht="12.75">
      <c r="A7" s="17" t="s">
        <v>843</v>
      </c>
      <c r="B7" s="17" t="s">
        <v>842</v>
      </c>
      <c r="C7" s="17" t="s">
        <v>534</v>
      </c>
      <c r="D7" s="17" t="str">
        <f>"1,0000"</f>
        <v>1,0000</v>
      </c>
      <c r="E7" s="17" t="s">
        <v>402</v>
      </c>
      <c r="F7" s="17" t="s">
        <v>65</v>
      </c>
      <c r="G7" s="18" t="s">
        <v>40</v>
      </c>
      <c r="H7" s="52" t="s">
        <v>841</v>
      </c>
      <c r="I7" s="17" t="str">
        <f>"2530,0"</f>
        <v>2530,0</v>
      </c>
      <c r="J7" s="18" t="str">
        <f>"48,6538"</f>
        <v>48,6538</v>
      </c>
      <c r="K7" s="17" t="s">
        <v>69</v>
      </c>
    </row>
    <row r="9" ht="15">
      <c r="E9" s="9" t="s">
        <v>14</v>
      </c>
    </row>
    <row r="10" ht="15">
      <c r="E10" s="9" t="s">
        <v>15</v>
      </c>
    </row>
    <row r="11" ht="15">
      <c r="E11" s="9" t="s">
        <v>16</v>
      </c>
    </row>
    <row r="12" ht="15">
      <c r="E12" s="9" t="s">
        <v>17</v>
      </c>
    </row>
    <row r="13" ht="15">
      <c r="E13" s="9" t="s">
        <v>17</v>
      </c>
    </row>
    <row r="14" ht="15">
      <c r="E14" s="9" t="s">
        <v>18</v>
      </c>
    </row>
    <row r="15" ht="15">
      <c r="E15" s="9"/>
    </row>
    <row r="17" spans="1:5" s="3" customFormat="1" ht="18">
      <c r="A17" s="10" t="s">
        <v>19</v>
      </c>
      <c r="B17" s="10"/>
      <c r="C17" s="4"/>
      <c r="D17" s="4"/>
      <c r="E17" s="4"/>
    </row>
    <row r="18" spans="1:5" s="3" customFormat="1" ht="15">
      <c r="A18" s="23" t="s">
        <v>216</v>
      </c>
      <c r="B18" s="23"/>
      <c r="C18" s="4"/>
      <c r="D18" s="4"/>
      <c r="E18" s="4"/>
    </row>
    <row r="19" spans="1:5" s="3" customFormat="1" ht="14.25">
      <c r="A19" s="25"/>
      <c r="B19" s="26" t="s">
        <v>217</v>
      </c>
      <c r="C19" s="4"/>
      <c r="D19" s="4"/>
      <c r="E19" s="4"/>
    </row>
    <row r="20" spans="1:5" s="3" customFormat="1" ht="15">
      <c r="A20" s="27" t="s">
        <v>218</v>
      </c>
      <c r="B20" s="27" t="s">
        <v>219</v>
      </c>
      <c r="C20" s="27" t="s">
        <v>220</v>
      </c>
      <c r="D20" s="27" t="s">
        <v>221</v>
      </c>
      <c r="E20" s="27" t="s">
        <v>787</v>
      </c>
    </row>
    <row r="21" spans="1:5" s="3" customFormat="1" ht="12.75">
      <c r="A21" s="24" t="s">
        <v>840</v>
      </c>
      <c r="B21" s="4" t="s">
        <v>217</v>
      </c>
      <c r="C21" s="4" t="s">
        <v>785</v>
      </c>
      <c r="D21" s="4" t="s">
        <v>839</v>
      </c>
      <c r="E21" s="28" t="s">
        <v>838</v>
      </c>
    </row>
    <row r="22" spans="1:5" s="3" customFormat="1" ht="12.75">
      <c r="A22" s="24" t="s">
        <v>837</v>
      </c>
      <c r="B22" s="4" t="s">
        <v>217</v>
      </c>
      <c r="C22" s="4" t="s">
        <v>785</v>
      </c>
      <c r="D22" s="4" t="s">
        <v>836</v>
      </c>
      <c r="E22" s="28" t="s">
        <v>835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9.875" style="4" bestFit="1" customWidth="1"/>
    <col min="7" max="7" width="4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10.75390625" style="4" bestFit="1" customWidth="1"/>
    <col min="12" max="16384" width="9.125" style="3" customWidth="1"/>
  </cols>
  <sheetData>
    <row r="1" spans="1:11" s="2" customFormat="1" ht="28.5" customHeight="1">
      <c r="A1" s="44" t="s">
        <v>854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853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1" t="s">
        <v>630</v>
      </c>
      <c r="B6" s="11" t="s">
        <v>631</v>
      </c>
      <c r="C6" s="11" t="s">
        <v>632</v>
      </c>
      <c r="D6" s="11" t="str">
        <f>"1,0000"</f>
        <v>1,0000</v>
      </c>
      <c r="E6" s="11" t="s">
        <v>633</v>
      </c>
      <c r="F6" s="11" t="s">
        <v>409</v>
      </c>
      <c r="G6" s="12" t="s">
        <v>40</v>
      </c>
      <c r="H6" s="50" t="s">
        <v>852</v>
      </c>
      <c r="I6" s="11" t="str">
        <f>"1595,0"</f>
        <v>1595,0</v>
      </c>
      <c r="J6" s="12" t="str">
        <f>"19,5465"</f>
        <v>19,5465</v>
      </c>
      <c r="K6" s="11" t="s">
        <v>634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216</v>
      </c>
      <c r="B17" s="23"/>
      <c r="C17" s="4"/>
      <c r="D17" s="4"/>
      <c r="E17" s="4"/>
    </row>
    <row r="18" spans="1:5" s="3" customFormat="1" ht="14.25">
      <c r="A18" s="25"/>
      <c r="B18" s="26" t="s">
        <v>278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787</v>
      </c>
    </row>
    <row r="20" spans="1:5" s="3" customFormat="1" ht="12.75">
      <c r="A20" s="24" t="s">
        <v>629</v>
      </c>
      <c r="B20" s="4" t="s">
        <v>469</v>
      </c>
      <c r="C20" s="4" t="s">
        <v>785</v>
      </c>
      <c r="D20" s="4" t="s">
        <v>851</v>
      </c>
      <c r="E20" s="28" t="s">
        <v>850</v>
      </c>
    </row>
  </sheetData>
  <sheetProtection/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9.125" style="4" bestFit="1" customWidth="1"/>
    <col min="7" max="7" width="4.625" style="3" bestFit="1" customWidth="1"/>
    <col min="8" max="8" width="4.625" style="49" bestFit="1" customWidth="1"/>
    <col min="9" max="9" width="7.75390625" style="4" bestFit="1" customWidth="1"/>
    <col min="10" max="10" width="7.625" style="3" bestFit="1" customWidth="1"/>
    <col min="11" max="11" width="11.625" style="4" bestFit="1" customWidth="1"/>
    <col min="12" max="16384" width="9.125" style="3" customWidth="1"/>
  </cols>
  <sheetData>
    <row r="1" spans="1:11" s="2" customFormat="1" ht="28.5" customHeight="1">
      <c r="A1" s="44" t="s">
        <v>863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11</v>
      </c>
      <c r="D3" s="43" t="s">
        <v>793</v>
      </c>
      <c r="E3" s="43" t="s">
        <v>7</v>
      </c>
      <c r="F3" s="43" t="s">
        <v>12</v>
      </c>
      <c r="G3" s="43" t="s">
        <v>853</v>
      </c>
      <c r="H3" s="43"/>
      <c r="I3" s="43" t="s">
        <v>707</v>
      </c>
      <c r="J3" s="43" t="s">
        <v>6</v>
      </c>
      <c r="K3" s="31" t="s">
        <v>5</v>
      </c>
    </row>
    <row r="4" spans="1:11" s="1" customFormat="1" ht="21" customHeight="1" thickBot="1">
      <c r="A4" s="40"/>
      <c r="B4" s="42"/>
      <c r="C4" s="42"/>
      <c r="D4" s="42"/>
      <c r="E4" s="42"/>
      <c r="F4" s="42"/>
      <c r="G4" s="8" t="s">
        <v>706</v>
      </c>
      <c r="H4" s="51" t="s">
        <v>705</v>
      </c>
      <c r="I4" s="42"/>
      <c r="J4" s="42"/>
      <c r="K4" s="32"/>
    </row>
    <row r="5" spans="1:10" ht="15">
      <c r="A5" s="45" t="s">
        <v>791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1" t="s">
        <v>862</v>
      </c>
      <c r="B6" s="11" t="s">
        <v>861</v>
      </c>
      <c r="C6" s="11" t="s">
        <v>860</v>
      </c>
      <c r="D6" s="11" t="str">
        <f>"1,0000"</f>
        <v>1,0000</v>
      </c>
      <c r="E6" s="11" t="s">
        <v>656</v>
      </c>
      <c r="F6" s="11" t="s">
        <v>53</v>
      </c>
      <c r="G6" s="12" t="s">
        <v>859</v>
      </c>
      <c r="H6" s="50" t="s">
        <v>858</v>
      </c>
      <c r="I6" s="11" t="str">
        <f>"1435,0"</f>
        <v>1435,0</v>
      </c>
      <c r="J6" s="12" t="str">
        <f>"24,1989"</f>
        <v>24,1989</v>
      </c>
      <c r="K6" s="11" t="s">
        <v>657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5" s="3" customFormat="1" ht="15">
      <c r="A17" s="23" t="s">
        <v>216</v>
      </c>
      <c r="B17" s="23"/>
      <c r="C17" s="4"/>
      <c r="D17" s="4"/>
      <c r="E17" s="4"/>
    </row>
    <row r="18" spans="1:5" s="3" customFormat="1" ht="14.25">
      <c r="A18" s="25"/>
      <c r="B18" s="26" t="s">
        <v>278</v>
      </c>
      <c r="C18" s="4"/>
      <c r="D18" s="4"/>
      <c r="E18" s="4"/>
    </row>
    <row r="19" spans="1:5" s="3" customFormat="1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787</v>
      </c>
    </row>
    <row r="20" spans="1:5" s="3" customFormat="1" ht="12.75">
      <c r="A20" s="24" t="s">
        <v>857</v>
      </c>
      <c r="B20" s="4" t="s">
        <v>663</v>
      </c>
      <c r="C20" s="4" t="s">
        <v>785</v>
      </c>
      <c r="D20" s="4" t="s">
        <v>856</v>
      </c>
      <c r="E20" s="28" t="s">
        <v>855</v>
      </c>
    </row>
  </sheetData>
  <sheetProtection/>
  <mergeCells count="12">
    <mergeCell ref="F3:F4"/>
    <mergeCell ref="E3:E4"/>
    <mergeCell ref="A5:J5"/>
    <mergeCell ref="D3:D4"/>
    <mergeCell ref="I3:I4"/>
    <mergeCell ref="J3:J4"/>
    <mergeCell ref="A1:K2"/>
    <mergeCell ref="G3:H3"/>
    <mergeCell ref="A3:A4"/>
    <mergeCell ref="B3:B4"/>
    <mergeCell ref="C3:C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600" verticalDpi="600" orientation="landscape" scale="83" r:id="rId2"/>
  <headerFooter alignWithMargins="0">
    <oddFooter>&amp;L&amp;G&amp;R&amp;D&amp;T&amp;P</oddFoot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9.125" style="4" bestFit="1" customWidth="1"/>
    <col min="7" max="10" width="4.625" style="3" bestFit="1" customWidth="1"/>
    <col min="11" max="11" width="7.75390625" style="4" bestFit="1" customWidth="1"/>
    <col min="12" max="12" width="7.62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44" t="s">
        <v>672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 t="s">
        <v>26</v>
      </c>
      <c r="E3" s="43" t="s">
        <v>7</v>
      </c>
      <c r="F3" s="43" t="s">
        <v>12</v>
      </c>
      <c r="G3" s="43" t="s">
        <v>27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5" spans="1:12" ht="15">
      <c r="A5" s="45" t="s">
        <v>70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1" t="s">
        <v>674</v>
      </c>
      <c r="B6" s="11" t="s">
        <v>675</v>
      </c>
      <c r="C6" s="11" t="s">
        <v>676</v>
      </c>
      <c r="D6" s="11" t="str">
        <f>"0,8318"</f>
        <v>0,8318</v>
      </c>
      <c r="E6" s="11" t="s">
        <v>52</v>
      </c>
      <c r="F6" s="11" t="s">
        <v>53</v>
      </c>
      <c r="G6" s="12" t="s">
        <v>42</v>
      </c>
      <c r="H6" s="13" t="s">
        <v>37</v>
      </c>
      <c r="I6" s="12" t="s">
        <v>39</v>
      </c>
      <c r="J6" s="13"/>
      <c r="K6" s="11" t="str">
        <f>"90,0"</f>
        <v>90,0</v>
      </c>
      <c r="L6" s="12" t="str">
        <f>"74,8665"</f>
        <v>74,8665</v>
      </c>
      <c r="M6" s="11" t="s">
        <v>488</v>
      </c>
    </row>
    <row r="8" ht="15">
      <c r="E8" s="9" t="s">
        <v>14</v>
      </c>
    </row>
    <row r="9" ht="15">
      <c r="E9" s="9" t="s">
        <v>15</v>
      </c>
    </row>
    <row r="10" ht="15">
      <c r="E10" s="9" t="s">
        <v>16</v>
      </c>
    </row>
    <row r="11" ht="15">
      <c r="E11" s="9" t="s">
        <v>17</v>
      </c>
    </row>
    <row r="12" ht="15">
      <c r="E12" s="9" t="s">
        <v>17</v>
      </c>
    </row>
    <row r="13" ht="15">
      <c r="E13" s="9" t="s">
        <v>18</v>
      </c>
    </row>
    <row r="14" ht="15">
      <c r="E14" s="9"/>
    </row>
    <row r="16" spans="1:2" ht="18">
      <c r="A16" s="10" t="s">
        <v>19</v>
      </c>
      <c r="B16" s="10"/>
    </row>
    <row r="17" spans="1:2" ht="15">
      <c r="A17" s="23" t="s">
        <v>216</v>
      </c>
      <c r="B17" s="23"/>
    </row>
    <row r="18" spans="1:2" ht="14.25">
      <c r="A18" s="25"/>
      <c r="B18" s="26" t="s">
        <v>217</v>
      </c>
    </row>
    <row r="19" spans="1:5" ht="15">
      <c r="A19" s="27" t="s">
        <v>218</v>
      </c>
      <c r="B19" s="27" t="s">
        <v>219</v>
      </c>
      <c r="C19" s="27" t="s">
        <v>220</v>
      </c>
      <c r="D19" s="27" t="s">
        <v>221</v>
      </c>
      <c r="E19" s="27" t="s">
        <v>222</v>
      </c>
    </row>
    <row r="20" spans="1:5" ht="12.75">
      <c r="A20" s="24" t="s">
        <v>673</v>
      </c>
      <c r="B20" s="4" t="s">
        <v>217</v>
      </c>
      <c r="C20" s="4" t="s">
        <v>237</v>
      </c>
      <c r="D20" s="4" t="s">
        <v>39</v>
      </c>
      <c r="E20" s="28" t="s">
        <v>677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3" width="2.125" style="3" bestFit="1" customWidth="1"/>
    <col min="14" max="14" width="4.625" style="3" bestFit="1" customWidth="1"/>
    <col min="15" max="17" width="2.125" style="3" bestFit="1" customWidth="1"/>
    <col min="18" max="18" width="4.625" style="3" bestFit="1" customWidth="1"/>
    <col min="19" max="19" width="7.75390625" style="4" bestFit="1" customWidth="1"/>
    <col min="20" max="20" width="5.875" style="3" bestFit="1" customWidth="1"/>
    <col min="21" max="21" width="8.25390625" style="4" bestFit="1" customWidth="1"/>
    <col min="22" max="16384" width="9.125" style="3" customWidth="1"/>
  </cols>
  <sheetData>
    <row r="1" spans="1:21" s="2" customFormat="1" ht="28.5" customHeight="1">
      <c r="A1" s="4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2</v>
      </c>
      <c r="L3" s="43"/>
      <c r="M3" s="43"/>
      <c r="N3" s="43"/>
      <c r="O3" s="43" t="s">
        <v>3</v>
      </c>
      <c r="P3" s="43"/>
      <c r="Q3" s="43"/>
      <c r="R3" s="43"/>
      <c r="S3" s="43" t="s">
        <v>4</v>
      </c>
      <c r="T3" s="43" t="s">
        <v>6</v>
      </c>
      <c r="U3" s="31" t="s">
        <v>5</v>
      </c>
    </row>
    <row r="4" spans="1:21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2"/>
      <c r="T4" s="42"/>
      <c r="U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3"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9.375" style="4" bestFit="1" customWidth="1"/>
    <col min="4" max="4" width="6.625" style="4" bestFit="1" customWidth="1"/>
    <col min="5" max="5" width="21.75390625" style="4" bestFit="1" customWidth="1"/>
    <col min="6" max="6" width="16.125" style="4" bestFit="1" customWidth="1"/>
    <col min="7" max="9" width="2.125" style="3" bestFit="1" customWidth="1"/>
    <col min="10" max="10" width="4.625" style="3" bestFit="1" customWidth="1"/>
    <col min="11" max="11" width="7.75390625" style="4" bestFit="1" customWidth="1"/>
    <col min="12" max="12" width="5.875" style="3" bestFit="1" customWidth="1"/>
    <col min="13" max="13" width="8.25390625" style="4" bestFit="1" customWidth="1"/>
    <col min="14" max="16384" width="9.125" style="3" customWidth="1"/>
  </cols>
  <sheetData>
    <row r="1" spans="1:13" s="2" customFormat="1" ht="28.5" customHeight="1">
      <c r="A1" s="44" t="s">
        <v>668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11</v>
      </c>
      <c r="D3" s="43"/>
      <c r="E3" s="43" t="s">
        <v>7</v>
      </c>
      <c r="F3" s="43" t="s">
        <v>12</v>
      </c>
      <c r="G3" s="43" t="s">
        <v>1</v>
      </c>
      <c r="H3" s="43"/>
      <c r="I3" s="43"/>
      <c r="J3" s="43"/>
      <c r="K3" s="43" t="s">
        <v>328</v>
      </c>
      <c r="L3" s="43" t="s">
        <v>6</v>
      </c>
      <c r="M3" s="31" t="s">
        <v>5</v>
      </c>
    </row>
    <row r="4" spans="1:13" s="1" customFormat="1" ht="21" customHeight="1" thickBot="1">
      <c r="A4" s="40"/>
      <c r="B4" s="42"/>
      <c r="C4" s="42"/>
      <c r="D4" s="42"/>
      <c r="E4" s="42"/>
      <c r="F4" s="42"/>
      <c r="G4" s="7">
        <v>1</v>
      </c>
      <c r="H4" s="7">
        <v>2</v>
      </c>
      <c r="I4" s="7">
        <v>3</v>
      </c>
      <c r="J4" s="7" t="s">
        <v>8</v>
      </c>
      <c r="K4" s="42"/>
      <c r="L4" s="42"/>
      <c r="M4" s="32"/>
    </row>
    <row r="6" ht="15">
      <c r="E6" s="9" t="s">
        <v>14</v>
      </c>
    </row>
    <row r="7" ht="15">
      <c r="E7" s="9" t="s">
        <v>15</v>
      </c>
    </row>
    <row r="8" ht="15">
      <c r="E8" s="9" t="s">
        <v>16</v>
      </c>
    </row>
    <row r="9" ht="15">
      <c r="E9" s="9" t="s">
        <v>17</v>
      </c>
    </row>
    <row r="10" ht="15">
      <c r="E10" s="9" t="s">
        <v>17</v>
      </c>
    </row>
    <row r="11" ht="15">
      <c r="E11" s="9" t="s">
        <v>18</v>
      </c>
    </row>
    <row r="12" ht="15">
      <c r="E12" s="9"/>
    </row>
    <row r="14" spans="1:2" ht="18">
      <c r="A14" s="10" t="s">
        <v>19</v>
      </c>
      <c r="B14" s="10"/>
    </row>
  </sheetData>
  <sheetProtection/>
  <mergeCells count="11"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2019-12-22T19:11:56Z</cp:lastPrinted>
  <dcterms:created xsi:type="dcterms:W3CDTF">2002-06-16T13:36:44Z</dcterms:created>
  <dcterms:modified xsi:type="dcterms:W3CDTF">2020-02-25T16:50:39Z</dcterms:modified>
  <cp:category/>
  <cp:version/>
  <cp:contentType/>
  <cp:contentStatus/>
</cp:coreProperties>
</file>